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0" windowHeight="13170" activeTab="2"/>
  </bookViews>
  <sheets>
    <sheet name="Додаток_1" sheetId="4" r:id="rId1"/>
    <sheet name="Додаток_2" sheetId="5" r:id="rId2"/>
    <sheet name="Додаток_3" sheetId="6" r:id="rId3"/>
    <sheet name="Додаток_5" sheetId="7" r:id="rId4"/>
    <sheet name="Додаток_6" sheetId="8" r:id="rId5"/>
    <sheet name="Додаток_7" sheetId="1" r:id="rId6"/>
  </sheets>
  <definedNames>
    <definedName name="_Hlk90642476" localSheetId="5">Додаток_7!$A$46</definedName>
    <definedName name="_xlnm.Print_Titles" localSheetId="0">Додаток_1!$9:$9</definedName>
    <definedName name="_xlnm.Print_Titles" localSheetId="2">Додаток_3!$7:$10</definedName>
    <definedName name="_xlnm.Print_Titles" localSheetId="5">Додаток_7!$10:$10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1" i="6" l="1"/>
  <c r="G11" i="6"/>
  <c r="H11" i="6"/>
  <c r="G33" i="6"/>
  <c r="H33" i="6"/>
  <c r="I33" i="6"/>
  <c r="G46" i="6"/>
  <c r="H46" i="6"/>
  <c r="I46" i="6"/>
  <c r="G50" i="6"/>
  <c r="I50" i="6"/>
  <c r="I59" i="6"/>
  <c r="G59" i="6"/>
  <c r="G65" i="6"/>
  <c r="I65" i="6"/>
  <c r="G79" i="6"/>
  <c r="H79" i="6"/>
  <c r="F87" i="6"/>
  <c r="G87" i="6"/>
  <c r="H87" i="6"/>
  <c r="E87" i="6"/>
  <c r="E12" i="6"/>
  <c r="E13" i="6"/>
  <c r="E14" i="6"/>
  <c r="E15" i="6"/>
  <c r="E16" i="6"/>
  <c r="E17" i="6"/>
  <c r="E18" i="6"/>
  <c r="E19" i="6"/>
  <c r="E20" i="6"/>
  <c r="E21" i="6"/>
  <c r="E22" i="6"/>
  <c r="E24" i="6"/>
  <c r="E25" i="6"/>
  <c r="E26" i="6"/>
  <c r="E29" i="6"/>
  <c r="E30" i="6"/>
  <c r="E34" i="6"/>
  <c r="E35" i="6"/>
  <c r="E38" i="6"/>
  <c r="E39" i="6"/>
  <c r="E40" i="6"/>
  <c r="E41" i="6"/>
  <c r="E47" i="6"/>
  <c r="E49" i="6"/>
  <c r="E51" i="6"/>
  <c r="E52" i="6"/>
  <c r="E53" i="6"/>
  <c r="E56" i="6"/>
  <c r="E57" i="6"/>
  <c r="E58" i="6"/>
  <c r="E60" i="6"/>
  <c r="E61" i="6"/>
  <c r="E63" i="6"/>
  <c r="E64" i="6"/>
  <c r="E68" i="6"/>
  <c r="E69" i="6"/>
  <c r="E70" i="6"/>
  <c r="E71" i="6"/>
  <c r="E72" i="6"/>
  <c r="E74" i="6"/>
  <c r="E75" i="6"/>
  <c r="E77" i="6"/>
  <c r="E80" i="6"/>
  <c r="E81" i="6"/>
  <c r="E82" i="6"/>
  <c r="E84" i="6"/>
  <c r="E85" i="6"/>
  <c r="E86" i="6"/>
  <c r="F15" i="6"/>
  <c r="F19" i="6"/>
  <c r="F23" i="6"/>
  <c r="E23" i="6" s="1"/>
  <c r="F36" i="6"/>
  <c r="F33" i="6" s="1"/>
  <c r="F52" i="6"/>
  <c r="F50" i="6" s="1"/>
  <c r="F53" i="6"/>
  <c r="F54" i="6"/>
  <c r="E54" i="6" s="1"/>
  <c r="F55" i="6"/>
  <c r="E55" i="6" s="1"/>
  <c r="F60" i="6"/>
  <c r="F59" i="6" s="1"/>
  <c r="F62" i="6"/>
  <c r="E62" i="6" s="1"/>
  <c r="F76" i="6"/>
  <c r="E76" i="6" s="1"/>
  <c r="F28" i="6"/>
  <c r="E28" i="6" s="1"/>
  <c r="F37" i="6"/>
  <c r="E37" i="6" s="1"/>
  <c r="F39" i="6"/>
  <c r="F40" i="6"/>
  <c r="F66" i="6"/>
  <c r="F65" i="6" s="1"/>
  <c r="F67" i="6"/>
  <c r="E67" i="6" s="1"/>
  <c r="F69" i="6"/>
  <c r="F70" i="6"/>
  <c r="F73" i="6"/>
  <c r="E73" i="6" s="1"/>
  <c r="F78" i="6"/>
  <c r="E78" i="6" s="1"/>
  <c r="F83" i="6"/>
  <c r="F79" i="6" s="1"/>
  <c r="F84" i="6"/>
  <c r="F85" i="6"/>
  <c r="F88" i="6"/>
  <c r="E66" i="6" l="1"/>
  <c r="E65" i="6" s="1"/>
  <c r="E83" i="6"/>
  <c r="E79" i="6"/>
  <c r="E36" i="6"/>
  <c r="G91" i="6"/>
  <c r="I35" i="8"/>
  <c r="I34" i="8"/>
  <c r="N33" i="8"/>
  <c r="N28" i="8" s="1"/>
  <c r="M33" i="8"/>
  <c r="M28" i="8" s="1"/>
  <c r="L33" i="8"/>
  <c r="K33" i="8"/>
  <c r="J33" i="8"/>
  <c r="I32" i="8"/>
  <c r="I31" i="8"/>
  <c r="I30" i="8"/>
  <c r="I29" i="8"/>
  <c r="L28" i="8"/>
  <c r="K28" i="8"/>
  <c r="J28" i="8"/>
  <c r="I27" i="8"/>
  <c r="I26" i="8"/>
  <c r="N25" i="8"/>
  <c r="M25" i="8"/>
  <c r="L25" i="8"/>
  <c r="L22" i="8" s="1"/>
  <c r="K25" i="8"/>
  <c r="K22" i="8" s="1"/>
  <c r="J25" i="8"/>
  <c r="J22" i="8" s="1"/>
  <c r="I24" i="8"/>
  <c r="I23" i="8"/>
  <c r="I25" i="8" s="1"/>
  <c r="N22" i="8"/>
  <c r="M22" i="8"/>
  <c r="I21" i="8"/>
  <c r="I20" i="8"/>
  <c r="I19" i="8"/>
  <c r="I18" i="8"/>
  <c r="I17" i="8"/>
  <c r="I16" i="8"/>
  <c r="I15" i="8"/>
  <c r="I14" i="8"/>
  <c r="N13" i="8"/>
  <c r="M13" i="8"/>
  <c r="L13" i="8"/>
  <c r="K13" i="8"/>
  <c r="J13" i="8"/>
  <c r="I13" i="8" s="1"/>
  <c r="I22" i="8" l="1"/>
  <c r="I28" i="8"/>
  <c r="J36" i="8"/>
  <c r="K36" i="8"/>
  <c r="L36" i="8"/>
  <c r="I33" i="8"/>
  <c r="M36" i="8"/>
  <c r="N36" i="8"/>
  <c r="I36" i="8"/>
  <c r="O77" i="6" l="1"/>
  <c r="K77" i="6"/>
  <c r="J77" i="6"/>
  <c r="P71" i="6"/>
  <c r="H58" i="1"/>
  <c r="G31" i="1" l="1"/>
  <c r="G65" i="1"/>
  <c r="P85" i="6"/>
  <c r="I51" i="1"/>
  <c r="J51" i="1"/>
  <c r="F48" i="6" l="1"/>
  <c r="P84" i="6"/>
  <c r="E48" i="6" l="1"/>
  <c r="F46" i="6"/>
  <c r="G25" i="1"/>
  <c r="G17" i="1"/>
  <c r="G64" i="1"/>
  <c r="H24" i="1" l="1"/>
  <c r="G24" i="1" s="1"/>
  <c r="H26" i="1"/>
  <c r="G23" i="1"/>
  <c r="I27" i="6"/>
  <c r="P31" i="6"/>
  <c r="P32" i="6"/>
  <c r="J33" i="6"/>
  <c r="K33" i="6"/>
  <c r="L33" i="6"/>
  <c r="M33" i="6"/>
  <c r="N33" i="6"/>
  <c r="O33" i="6"/>
  <c r="E33" i="6"/>
  <c r="E22" i="5"/>
  <c r="J11" i="6"/>
  <c r="K11" i="6"/>
  <c r="L11" i="6"/>
  <c r="M11" i="6"/>
  <c r="N11" i="6"/>
  <c r="O11" i="6"/>
  <c r="P30" i="6"/>
  <c r="I11" i="6" l="1"/>
  <c r="F27" i="6"/>
  <c r="P42" i="6"/>
  <c r="P43" i="6"/>
  <c r="P44" i="6"/>
  <c r="P45" i="6"/>
  <c r="G61" i="1"/>
  <c r="G62" i="1"/>
  <c r="G63" i="1"/>
  <c r="G47" i="1"/>
  <c r="G48" i="1"/>
  <c r="I38" i="1"/>
  <c r="J38" i="1"/>
  <c r="H38" i="1"/>
  <c r="G40" i="1"/>
  <c r="E27" i="6" l="1"/>
  <c r="E11" i="6" s="1"/>
  <c r="F11" i="6"/>
  <c r="F91" i="6" s="1"/>
  <c r="P82" i="6"/>
  <c r="P77" i="6"/>
  <c r="F26" i="5"/>
  <c r="P83" i="6" l="1"/>
  <c r="H76" i="6" l="1"/>
  <c r="H67" i="6"/>
  <c r="H65" i="6" s="1"/>
  <c r="H62" i="6"/>
  <c r="H60" i="6"/>
  <c r="H59" i="6" s="1"/>
  <c r="J50" i="6"/>
  <c r="K50" i="6"/>
  <c r="L50" i="6"/>
  <c r="M50" i="6"/>
  <c r="N50" i="6"/>
  <c r="O50" i="6"/>
  <c r="E50" i="6"/>
  <c r="P58" i="6"/>
  <c r="H55" i="6"/>
  <c r="H54" i="6"/>
  <c r="H53" i="6"/>
  <c r="H52" i="6"/>
  <c r="H50" i="6" s="1"/>
  <c r="H91" i="6" s="1"/>
  <c r="E93" i="4" l="1"/>
  <c r="E92" i="4" s="1"/>
  <c r="E91" i="4" s="1"/>
  <c r="F92" i="4"/>
  <c r="F91" i="4" s="1"/>
  <c r="D92" i="4"/>
  <c r="D91" i="4" s="1"/>
  <c r="C93" i="4" l="1"/>
  <c r="C92" i="4"/>
  <c r="C91" i="4"/>
  <c r="D15" i="7" l="1"/>
  <c r="D13" i="7"/>
  <c r="D23" i="7" l="1"/>
  <c r="D22" i="7" s="1"/>
  <c r="G46" i="1"/>
  <c r="G49" i="1"/>
  <c r="G50" i="1"/>
  <c r="G51" i="1"/>
  <c r="G52" i="1"/>
  <c r="G53" i="1"/>
  <c r="G54" i="1"/>
  <c r="G55" i="1"/>
  <c r="G56" i="1"/>
  <c r="H45" i="1"/>
  <c r="G18" i="1"/>
  <c r="P70" i="6" l="1"/>
  <c r="P73" i="6"/>
  <c r="P74" i="6"/>
  <c r="P72" i="6" l="1"/>
  <c r="G21" i="1"/>
  <c r="G15" i="1"/>
  <c r="J65" i="6" l="1"/>
  <c r="K65" i="6"/>
  <c r="L65" i="6"/>
  <c r="M65" i="6"/>
  <c r="N65" i="6"/>
  <c r="O65" i="6"/>
  <c r="P78" i="6"/>
  <c r="P75" i="6"/>
  <c r="P68" i="6"/>
  <c r="P67" i="6"/>
  <c r="I58" i="1" l="1"/>
  <c r="J58" i="1"/>
  <c r="G57" i="1"/>
  <c r="I45" i="1"/>
  <c r="J45" i="1"/>
  <c r="I41" i="1"/>
  <c r="J41" i="1"/>
  <c r="H41" i="1"/>
  <c r="I34" i="1"/>
  <c r="J34" i="1"/>
  <c r="H34" i="1"/>
  <c r="I32" i="1"/>
  <c r="J32" i="1"/>
  <c r="H32" i="1"/>
  <c r="I11" i="1"/>
  <c r="J11" i="1"/>
  <c r="H11" i="1"/>
  <c r="G12" i="1"/>
  <c r="G13" i="1"/>
  <c r="G14" i="1"/>
  <c r="G16" i="1"/>
  <c r="G19" i="1"/>
  <c r="G20" i="1"/>
  <c r="G22" i="1"/>
  <c r="G26" i="1"/>
  <c r="G27" i="1"/>
  <c r="G28" i="1"/>
  <c r="G29" i="1"/>
  <c r="G30" i="1"/>
  <c r="G33" i="1"/>
  <c r="G35" i="1"/>
  <c r="G36" i="1"/>
  <c r="G37" i="1"/>
  <c r="G39" i="1"/>
  <c r="G42" i="1"/>
  <c r="G43" i="1"/>
  <c r="G44" i="1"/>
  <c r="G59" i="1"/>
  <c r="G60" i="1"/>
  <c r="G34" i="1" l="1"/>
  <c r="G32" i="1"/>
  <c r="G41" i="1"/>
  <c r="I67" i="1"/>
  <c r="G11" i="1"/>
  <c r="G58" i="1"/>
  <c r="J67" i="1"/>
  <c r="G45" i="1"/>
  <c r="H67" i="1"/>
  <c r="G66" i="1" s="1"/>
  <c r="G38" i="1"/>
  <c r="P64" i="6"/>
  <c r="P66" i="6"/>
  <c r="P69" i="6"/>
  <c r="P76" i="6"/>
  <c r="P80" i="6"/>
  <c r="P81" i="6"/>
  <c r="P86" i="6"/>
  <c r="P88" i="6"/>
  <c r="P89" i="6"/>
  <c r="P90" i="6"/>
  <c r="G67" i="1" l="1"/>
  <c r="E28" i="5" l="1"/>
  <c r="E27" i="5" s="1"/>
  <c r="D28" i="5"/>
  <c r="C26" i="5"/>
  <c r="F25" i="5"/>
  <c r="F24" i="5" s="1"/>
  <c r="C25" i="5"/>
  <c r="D24" i="5"/>
  <c r="C23" i="5"/>
  <c r="F22" i="5"/>
  <c r="F21" i="5" s="1"/>
  <c r="C22" i="5"/>
  <c r="F16" i="5"/>
  <c r="C17" i="5"/>
  <c r="E16" i="5"/>
  <c r="C15" i="5"/>
  <c r="C14" i="5"/>
  <c r="F13" i="5"/>
  <c r="F12" i="5" s="1"/>
  <c r="E13" i="5"/>
  <c r="E12" i="5" s="1"/>
  <c r="D13" i="5"/>
  <c r="D12" i="5" s="1"/>
  <c r="E11" i="5" l="1"/>
  <c r="E18" i="5" s="1"/>
  <c r="F11" i="5"/>
  <c r="F18" i="5" s="1"/>
  <c r="C12" i="5"/>
  <c r="C29" i="5"/>
  <c r="C13" i="5"/>
  <c r="F20" i="5"/>
  <c r="D16" i="5"/>
  <c r="C16" i="5" s="1"/>
  <c r="E24" i="5"/>
  <c r="C24" i="5" s="1"/>
  <c r="C28" i="5"/>
  <c r="D27" i="5"/>
  <c r="C27" i="5" s="1"/>
  <c r="E21" i="5"/>
  <c r="F29" i="5"/>
  <c r="F28" i="5" s="1"/>
  <c r="F27" i="5" s="1"/>
  <c r="D20" i="5"/>
  <c r="D39" i="4"/>
  <c r="F30" i="5" l="1"/>
  <c r="D11" i="5"/>
  <c r="C11" i="5" s="1"/>
  <c r="C18" i="5" s="1"/>
  <c r="E20" i="5"/>
  <c r="E30" i="5" s="1"/>
  <c r="C21" i="5"/>
  <c r="D30" i="5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4" i="6"/>
  <c r="P35" i="6"/>
  <c r="P36" i="6"/>
  <c r="P37" i="6"/>
  <c r="P38" i="6"/>
  <c r="P39" i="6"/>
  <c r="P40" i="6"/>
  <c r="P41" i="6"/>
  <c r="P47" i="6"/>
  <c r="P48" i="6"/>
  <c r="P49" i="6"/>
  <c r="P51" i="6"/>
  <c r="P52" i="6"/>
  <c r="P53" i="6"/>
  <c r="P54" i="6"/>
  <c r="P55" i="6"/>
  <c r="P56" i="6"/>
  <c r="P57" i="6"/>
  <c r="P60" i="6"/>
  <c r="P61" i="6"/>
  <c r="P62" i="6"/>
  <c r="P63" i="6"/>
  <c r="P12" i="6"/>
  <c r="D63" i="4"/>
  <c r="C20" i="5" l="1"/>
  <c r="C30" i="5" s="1"/>
  <c r="D18" i="5"/>
  <c r="E89" i="4"/>
  <c r="E88" i="4" s="1"/>
  <c r="E87" i="4" s="1"/>
  <c r="F89" i="4"/>
  <c r="F88" i="4" s="1"/>
  <c r="F87" i="4" s="1"/>
  <c r="D89" i="4"/>
  <c r="D88" i="4" s="1"/>
  <c r="D87" i="4" s="1"/>
  <c r="C90" i="4"/>
  <c r="E73" i="4"/>
  <c r="F73" i="4"/>
  <c r="D73" i="4"/>
  <c r="C74" i="4"/>
  <c r="E39" i="4"/>
  <c r="F39" i="4"/>
  <c r="E35" i="4"/>
  <c r="E30" i="4" s="1"/>
  <c r="F35" i="4"/>
  <c r="F30" i="4" s="1"/>
  <c r="D35" i="4"/>
  <c r="C34" i="4"/>
  <c r="E28" i="4"/>
  <c r="E20" i="4" s="1"/>
  <c r="F28" i="4"/>
  <c r="F20" i="4" s="1"/>
  <c r="D28" i="4"/>
  <c r="D24" i="4"/>
  <c r="C24" i="4" s="1"/>
  <c r="E12" i="4"/>
  <c r="F12" i="4"/>
  <c r="D12" i="4"/>
  <c r="C16" i="4"/>
  <c r="C17" i="4"/>
  <c r="C35" i="4" l="1"/>
  <c r="C73" i="4"/>
  <c r="C28" i="4"/>
  <c r="C89" i="4"/>
  <c r="O87" i="6" l="1"/>
  <c r="N87" i="6"/>
  <c r="M87" i="6"/>
  <c r="L87" i="6"/>
  <c r="K87" i="6"/>
  <c r="J87" i="6"/>
  <c r="P87" i="6" s="1"/>
  <c r="I87" i="6"/>
  <c r="O79" i="6"/>
  <c r="N79" i="6"/>
  <c r="M79" i="6"/>
  <c r="L79" i="6"/>
  <c r="K79" i="6"/>
  <c r="J79" i="6"/>
  <c r="I79" i="6"/>
  <c r="J59" i="6"/>
  <c r="O59" i="6"/>
  <c r="N59" i="6"/>
  <c r="M59" i="6"/>
  <c r="L59" i="6"/>
  <c r="K59" i="6"/>
  <c r="E46" i="6"/>
  <c r="O46" i="6"/>
  <c r="N46" i="6"/>
  <c r="M46" i="6"/>
  <c r="L46" i="6"/>
  <c r="K46" i="6"/>
  <c r="J46" i="6"/>
  <c r="C105" i="4"/>
  <c r="C104" i="4"/>
  <c r="C103" i="4"/>
  <c r="D102" i="4"/>
  <c r="C102" i="4" s="1"/>
  <c r="C100" i="4"/>
  <c r="C98" i="4"/>
  <c r="D97" i="4"/>
  <c r="C97" i="4" s="1"/>
  <c r="C88" i="4"/>
  <c r="C86" i="4"/>
  <c r="E85" i="4"/>
  <c r="E84" i="4" s="1"/>
  <c r="D85" i="4"/>
  <c r="C83" i="4"/>
  <c r="C82" i="4"/>
  <c r="C81" i="4"/>
  <c r="F80" i="4"/>
  <c r="E80" i="4"/>
  <c r="E79" i="4" s="1"/>
  <c r="D80" i="4"/>
  <c r="D79" i="4" s="1"/>
  <c r="F79" i="4"/>
  <c r="F59" i="4" s="1"/>
  <c r="C78" i="4"/>
  <c r="C77" i="4"/>
  <c r="C76" i="4"/>
  <c r="D75" i="4"/>
  <c r="C72" i="4"/>
  <c r="C71" i="4"/>
  <c r="C70" i="4"/>
  <c r="C69" i="4"/>
  <c r="D68" i="4"/>
  <c r="D67" i="4" s="1"/>
  <c r="C66" i="4"/>
  <c r="C65" i="4"/>
  <c r="C64" i="4"/>
  <c r="C62" i="4"/>
  <c r="D61" i="4"/>
  <c r="C61" i="4" s="1"/>
  <c r="C58" i="4"/>
  <c r="C57" i="4"/>
  <c r="C56" i="4"/>
  <c r="E55" i="4"/>
  <c r="C55" i="4" s="1"/>
  <c r="C53" i="4"/>
  <c r="C52" i="4"/>
  <c r="C51" i="4"/>
  <c r="D50" i="4"/>
  <c r="C50" i="4" s="1"/>
  <c r="C49" i="4"/>
  <c r="C48" i="4"/>
  <c r="D47" i="4"/>
  <c r="C47" i="4" s="1"/>
  <c r="C46" i="4"/>
  <c r="C45" i="4"/>
  <c r="C44" i="4"/>
  <c r="C43" i="4"/>
  <c r="C42" i="4"/>
  <c r="C41" i="4"/>
  <c r="C40" i="4"/>
  <c r="C37" i="4"/>
  <c r="C36" i="4"/>
  <c r="D33" i="4"/>
  <c r="C33" i="4" s="1"/>
  <c r="C32" i="4"/>
  <c r="D31" i="4"/>
  <c r="C29" i="4"/>
  <c r="C27" i="4"/>
  <c r="C26" i="4"/>
  <c r="C25" i="4"/>
  <c r="C23" i="4"/>
  <c r="C22" i="4"/>
  <c r="D21" i="4"/>
  <c r="C19" i="4"/>
  <c r="D18" i="4"/>
  <c r="C18" i="4" s="1"/>
  <c r="C15" i="4"/>
  <c r="C14" i="4"/>
  <c r="C13" i="4"/>
  <c r="F10" i="4"/>
  <c r="F94" i="4" s="1"/>
  <c r="F106" i="4" s="1"/>
  <c r="I91" i="6" l="1"/>
  <c r="P46" i="6"/>
  <c r="P79" i="6"/>
  <c r="C67" i="4"/>
  <c r="C79" i="4"/>
  <c r="P50" i="6"/>
  <c r="P33" i="6"/>
  <c r="C21" i="4"/>
  <c r="D20" i="4"/>
  <c r="E59" i="4"/>
  <c r="C31" i="4"/>
  <c r="D30" i="4"/>
  <c r="C30" i="4" s="1"/>
  <c r="C75" i="4"/>
  <c r="M91" i="6"/>
  <c r="L91" i="6"/>
  <c r="N91" i="6"/>
  <c r="K91" i="6"/>
  <c r="O91" i="6"/>
  <c r="P11" i="6"/>
  <c r="E59" i="6"/>
  <c r="P59" i="6" s="1"/>
  <c r="D101" i="4"/>
  <c r="D99" i="4" s="1"/>
  <c r="D96" i="4" s="1"/>
  <c r="D95" i="4" s="1"/>
  <c r="C85" i="4"/>
  <c r="C80" i="4"/>
  <c r="C68" i="4"/>
  <c r="D60" i="4"/>
  <c r="D38" i="4"/>
  <c r="C38" i="4" s="1"/>
  <c r="C39" i="4"/>
  <c r="D11" i="4"/>
  <c r="C11" i="4" s="1"/>
  <c r="C12" i="4"/>
  <c r="C63" i="4"/>
  <c r="C87" i="4"/>
  <c r="D84" i="4"/>
  <c r="C84" i="4" s="1"/>
  <c r="E54" i="4"/>
  <c r="J91" i="6" l="1"/>
  <c r="P65" i="6"/>
  <c r="D59" i="4"/>
  <c r="C59" i="4" s="1"/>
  <c r="C60" i="4"/>
  <c r="E91" i="6"/>
  <c r="D10" i="4"/>
  <c r="D94" i="4" s="1"/>
  <c r="C20" i="4"/>
  <c r="C101" i="4"/>
  <c r="E10" i="4"/>
  <c r="E94" i="4" s="1"/>
  <c r="C54" i="4"/>
  <c r="P91" i="6" l="1"/>
  <c r="D106" i="4"/>
  <c r="E106" i="4"/>
  <c r="C10" i="4"/>
  <c r="C99" i="4"/>
  <c r="C94" i="4" l="1"/>
  <c r="C96" i="4"/>
  <c r="C95" i="4"/>
  <c r="C106" i="4" l="1"/>
</calcChain>
</file>

<file path=xl/sharedStrings.xml><?xml version="1.0" encoding="utf-8"?>
<sst xmlns="http://schemas.openxmlformats.org/spreadsheetml/2006/main" count="810" uniqueCount="468">
  <si>
    <t>Додаток 7 до рішення міської ради</t>
  </si>
  <si>
    <t xml:space="preserve">РОЗПОДІЛ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</si>
  <si>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</si>
  <si>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</si>
  <si>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Функціо-нальної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</si>
  <si>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 бюджетної програми згідно з Типовою програмною класифікацією видатків та кредитування місцевих бюджетів</t>
  </si>
  <si>
    <t>Найменування місцевих/регіональних програм</t>
  </si>
  <si>
    <t>Дата та номер документа, яким затверджено місцеву регіональну програму</t>
  </si>
  <si>
    <t>Всього</t>
  </si>
  <si>
    <t>Загальний фонд</t>
  </si>
  <si>
    <t>Спеціальний фонд</t>
  </si>
  <si>
    <t>всього</t>
  </si>
  <si>
    <t>у тому числі бюджет розвитку</t>
  </si>
  <si>
    <t>Міська рада</t>
  </si>
  <si>
    <t>Інші заходи у сфері соціального захисту  і соціального забезпечення</t>
  </si>
  <si>
    <t>Реалізація інших заходів щодо соціально-економічного розвитку територій</t>
  </si>
  <si>
    <t>Управління освіти</t>
  </si>
  <si>
    <t>Служба у справах дітей</t>
  </si>
  <si>
    <t>Відділ культури</t>
  </si>
  <si>
    <t>Відділ  молоді і спорту</t>
  </si>
  <si>
    <t>Управління з питань житлово-комунального господарства</t>
  </si>
  <si>
    <t>Управління з питань благоустрою та інфраструктури</t>
  </si>
  <si>
    <t>ВСЬОГО</t>
  </si>
  <si>
    <t>0113242</t>
  </si>
  <si>
    <t>0117370</t>
  </si>
  <si>
    <t>Заходи державної політики з питань дітей та їх соціального захисту</t>
  </si>
  <si>
    <t>Інші заходи та заклади молодіжної політики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</si>
  <si>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</si>
  <si>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</si>
  <si>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03.10.2024 №2909-48/2024</t>
  </si>
  <si>
    <t>03.10.2024 №2903-48/2024</t>
  </si>
  <si>
    <t>03.10.2024 №2899-48/2024</t>
  </si>
  <si>
    <t>Програма попередження дитячої бездоглядності та безпритульності серед дітей, підтримки дітей-сиріт та дітей, позбавлених батьківського піклування та дітей інших соціально незахищених категорій населення Долинської територіальної громади на 2025-2027 роки</t>
  </si>
  <si>
    <t>Програма «Молодь Долинської громади» на 2025-2027 рр.</t>
  </si>
  <si>
    <t>03.10.2024 №2908-48/2024</t>
  </si>
  <si>
    <t>Програма соціально-психологічної підтримки дітей та молоді з синдромом Дауна ГО «Долина СОНЯЧНІ ПРОМІНЧИКИ»  на 2025-2027 роки</t>
  </si>
  <si>
    <t>03.10.2024 №2898-48/2024</t>
  </si>
  <si>
    <t>03.10.2024 №2897-48/2024</t>
  </si>
  <si>
    <t>Програма соціально-психологічної підтримки дітей та молоді з обмеженими функціональними можливостями на 2025-2027 рік</t>
  </si>
  <si>
    <t>Первинна медична допомога населенню, що надається центрами первинної медичної (медико-санітарної) допомоги</t>
  </si>
  <si>
    <t>Інші програми та заходи у сфері охорони здоров’я</t>
  </si>
  <si>
    <t>03.10.2024 №2896-48/2024</t>
  </si>
  <si>
    <t>Програма підтримки та розвитку установ первинної медичної допомоги на 2025-2027 роки</t>
  </si>
  <si>
    <t>03.10.2024 №2893-48/2024</t>
  </si>
  <si>
    <t>Інші заходи у сфері соціального захисту і соціального забезпечення</t>
  </si>
  <si>
    <t>Програма підтримки психологічної стабілізації та реабілітації військовослужбовців внаслідок поранень, контузій, полону, членів сімей з-агиблих, зниклих безвісти, полонених, які брали участь у захисті України від збройної агресії російської федерації на 2024-2026 роки</t>
  </si>
  <si>
    <t>21.08.2024 №2821-47/2024</t>
  </si>
  <si>
    <t>Програма фінансування мобілізаційних заходів та оборонної роботи Долинської міської ради на 2025-2027 роки</t>
  </si>
  <si>
    <t>Програма забезпечення містобудівною документацією та ведення містобудівного кадастру Долинської ТГ на 2025-2027 роки</t>
  </si>
  <si>
    <t>23.10.2024 №2922- 48/2024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</si>
  <si>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</si>
  <si>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Про програму відшкодування різниці в тарифах на послуги з централізованого водопостачання і централізованого водовідведення КП «Водоканал» Долинської міської ради на 2025-2027 роки </t>
  </si>
  <si>
    <t>21.11.2024 №2977-50/2024</t>
  </si>
  <si>
    <t>Код</t>
  </si>
  <si>
    <t>Найменування згідно з класифікацією доходів бюджету</t>
  </si>
  <si>
    <t>Усього</t>
  </si>
  <si>
    <t>усього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</si>
  <si>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</si>
  <si>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</si>
  <si>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</si>
  <si>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</si>
  <si>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</si>
  <si>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</si>
  <si>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</si>
  <si>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</si>
  <si>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</si>
  <si>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</si>
  <si>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</si>
  <si>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</si>
  <si>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</si>
  <si>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</si>
  <si>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</si>
  <si>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</si>
  <si>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</si>
  <si>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</si>
  <si>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</si>
  <si>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</si>
  <si>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</si>
  <si>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</si>
  <si>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</si>
  <si>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</si>
  <si>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</si>
  <si>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</si>
  <si>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</si>
  <si>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</si>
  <si>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</si>
  <si>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</si>
  <si>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</si>
  <si>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</si>
  <si>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</si>
  <si>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</si>
  <si>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</si>
  <si>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</si>
  <si>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</si>
  <si>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</si>
  <si>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</si>
  <si>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відсотків"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</si>
  <si>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</si>
  <si>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</si>
  <si>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вуглецю),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</si>
  <si>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</si>
  <si>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</si>
  <si>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</si>
  <si>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</si>
  <si>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</si>
  <si>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</si>
  <si>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</si>
  <si>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</si>
  <si>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</si>
  <si>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</si>
  <si>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</si>
  <si>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</si>
  <si>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</si>
  <si>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</si>
  <si>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</si>
  <si>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</si>
  <si>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</si>
  <si>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</si>
  <si>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</si>
  <si>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</si>
  <si>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</si>
  <si>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</si>
  <si>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</si>
  <si>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</si>
  <si>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</si>
  <si>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</si>
  <si>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 державного управління</t>
  </si>
  <si>
    <t>Субвенція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</si>
  <si>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</si>
  <si>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</si>
  <si>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інклюзивно-ресурсних центрів)</t>
  </si>
  <si>
    <t>Інша субвенція з місцевого бюджету, в тому числі</t>
  </si>
  <si>
    <t>з обласного бюджету:</t>
  </si>
  <si>
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</si>
  <si>
    <t>на пільгове медичне обслуговування громадян, які постраждали внаслідок Чорнобильської катастрофи</t>
  </si>
  <si>
    <t>на додаткові виплати ветеранам ОУН-УПА</t>
  </si>
  <si>
    <t>Всього доходів</t>
  </si>
  <si>
    <t>ДОХОДИ</t>
  </si>
  <si>
    <t>грн</t>
  </si>
  <si>
    <t>Додаток 1 до рішення міської ради</t>
  </si>
  <si>
    <t>Додаток 3 до рішення міської ради</t>
  </si>
  <si>
    <t>Додаток 2 до рішення міської ради</t>
  </si>
  <si>
    <t>Найменування згідно з Класифікацією фінансування бюджету</t>
  </si>
  <si>
    <t>Внутрішнє фінансування</t>
  </si>
  <si>
    <t>Загальне фінансування</t>
  </si>
  <si>
    <t>Фінансування за активними операціями</t>
  </si>
  <si>
    <t>Код програмної класифікації видатків та кредитування місцевих бюджетів</t>
  </si>
  <si>
    <t>Код Функціо-нальної класифікації видатків та кредиту-вання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</si>
  <si>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</si>
  <si>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</si>
  <si>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</si>
  <si>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</si>
  <si>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</si>
  <si>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</si>
  <si>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</si>
  <si>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</si>
  <si>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</si>
  <si>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</si>
  <si>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</si>
  <si>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</si>
  <si>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</si>
  <si>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</si>
  <si>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</si>
  <si>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</si>
  <si>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0111160</t>
  </si>
  <si>
    <t>0990</t>
  </si>
  <si>
    <t>Забезпечення діяльності центрів професійного розвитку педагогічних працівників</t>
  </si>
  <si>
    <t>0111151</t>
  </si>
  <si>
    <t>Забезпечення діяльності інклюзивно-ресурсних центрів за рахунок коштів місцевого бюджету</t>
  </si>
  <si>
    <t>0111152</t>
  </si>
  <si>
    <t>Забезпечення діяльності інклюзивно-ресурсних центрів за рахунок освітньої субвенції</t>
  </si>
  <si>
    <t>0112111</t>
  </si>
  <si>
    <t>0726</t>
  </si>
  <si>
    <t> 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</si>
  <si>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</si>
  <si>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</si>
  <si>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Інші програми та заходи у сфері охорони здоров`я</t>
  </si>
  <si>
    <t>0113033</t>
  </si>
  <si>
    <t>Компенсаційні виплати на пільговий проїзд автомобільним транспортом окремим категоріям громадян</t>
  </si>
  <si>
    <t>0113050</t>
  </si>
  <si>
    <t>Пільгове медичне обслуговування осіб, які постраждали внаслідок Чорнобильської катастрофи</t>
  </si>
  <si>
    <t>0113090</t>
  </si>
  <si>
    <t>Видатки на поховання учасників бойових дій та осіб з інвалідністю внаслідок війни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</si>
  <si>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</si>
  <si>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</si>
  <si>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</si>
  <si>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</si>
  <si>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0109</t>
  </si>
  <si>
    <t>0490</t>
  </si>
  <si>
    <t>0117693</t>
  </si>
  <si>
    <t>Інші заходи, пов'язані з економічною діяльністю</t>
  </si>
  <si>
    <t>06</t>
  </si>
  <si>
    <t>0610160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</si>
  <si>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</si>
  <si>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</si>
  <si>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0611010</t>
  </si>
  <si>
    <t>0910</t>
  </si>
  <si>
    <t>Надання дошкільної освіти міський бюджет</t>
  </si>
  <si>
    <t>0611021</t>
  </si>
  <si>
    <t>0921</t>
  </si>
  <si>
    <t>Надання загальної середньої освіти закладами загальної середньої освіти</t>
  </si>
  <si>
    <t>0611026</t>
  </si>
  <si>
    <t>1026</t>
  </si>
  <si>
    <t>Надання загальної середньої освіти міжшкільними ресурсними центрами за рахунок коштів місцевого бюджету</t>
  </si>
  <si>
    <t>0611031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</si>
  <si>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</si>
  <si>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</si>
  <si>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</si>
  <si>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</si>
  <si>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</si>
  <si>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</si>
  <si>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</si>
  <si>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09</t>
  </si>
  <si>
    <t>0910160</t>
  </si>
  <si>
    <t>0913112</t>
  </si>
  <si>
    <t>0913133</t>
  </si>
  <si>
    <t>Надання спеціальної освіти мистецькими школами</t>
  </si>
  <si>
    <t>0824</t>
  </si>
  <si>
    <t>Забезпечення діяльності бібліотек</t>
  </si>
  <si>
    <t>Забезпечення діяльності музеїв і виставок</t>
  </si>
  <si>
    <t>0828</t>
  </si>
  <si>
    <t>Забезпечення діяльності палаців і будинків культури, клубів, центрів дозвілля та інших клубних закладів</t>
  </si>
  <si>
    <t>0829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</si>
  <si>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</si>
  <si>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</si>
  <si>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0810</t>
  </si>
  <si>
    <t>0640</t>
  </si>
  <si>
    <t>Інша діяльність у сфері житлово-комунального господарства</t>
  </si>
  <si>
    <t>Керівництво і управління у благоустрою населених пунктів</t>
  </si>
  <si>
    <t>0620</t>
  </si>
  <si>
    <t>Організація благоустрою населених пунктів</t>
  </si>
  <si>
    <t>0512</t>
  </si>
  <si>
    <t>Утилізація відходів</t>
  </si>
  <si>
    <t>Фінансове управління</t>
  </si>
  <si>
    <t>Резервний фонд</t>
  </si>
  <si>
    <t>РОЗПОДІЛ</t>
  </si>
  <si>
    <t>Начальниця фінансового управління</t>
  </si>
  <si>
    <t>Світлана ДЕМЧЕНКО</t>
  </si>
  <si>
    <t>МІЖБЮДЖЕТНІ ТРАНСФЕРТИ </t>
  </si>
  <si>
    <t>Х</t>
  </si>
  <si>
    <t>Начальниця фінансового управління                                   Світлана ДЕМЧЕНКО</t>
  </si>
  <si>
    <r>
      <t xml:space="preserve">                                                    Додаток 5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рішення міської ради</t>
    </r>
  </si>
  <si>
    <t>ОБСЯГИ</t>
  </si>
  <si>
    <t>Надання загальної середньої освіти закладами загальної середньої освіти за рахунок коштів місцевого бюджету</t>
  </si>
  <si>
    <t>УСЬОГО</t>
  </si>
  <si>
    <t>(код бюджету)</t>
  </si>
  <si>
    <r>
      <t>Додаток 6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рішення міської ради</t>
    </r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</si>
  <si>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</si>
  <si>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</si>
  <si>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Рентна плата за користування надрами місцевого значення</t>
  </si>
  <si>
    <t>Акцизний податок з реалізації суб'єктами господарювання роздрібної торгівлі підакцизних товарів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</si>
  <si>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</si>
  <si>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</si>
  <si>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</si>
  <si>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</si>
  <si>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</si>
  <si>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</si>
  <si>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Багатопрофільна стаціонарна медична допомога населенню</t>
  </si>
  <si>
    <t>0731</t>
  </si>
  <si>
    <t>2010</t>
  </si>
  <si>
    <t>0112010</t>
  </si>
  <si>
    <t>0117350</t>
  </si>
  <si>
    <t>0117640</t>
  </si>
  <si>
    <t>Розроблення схем планування та забудови територій (містобудівної документації)</t>
  </si>
  <si>
    <t>7350</t>
  </si>
  <si>
    <t>0443</t>
  </si>
  <si>
    <t>Заходи з енергозбереження</t>
  </si>
  <si>
    <t>0470</t>
  </si>
  <si>
    <t>7640</t>
  </si>
  <si>
    <t>(грн.)</t>
  </si>
  <si>
    <t>Фінансування за типом кредитора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</si>
  <si>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</si>
  <si>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</si>
  <si>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</si>
  <si>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</si>
  <si>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 за рахунок зміни залишків коштів місцевих бюджетів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</si>
  <si>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</si>
  <si>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зобов'язання</t>
  </si>
  <si>
    <t>Фінансування бюджету за борговими зобов'язаннями</t>
  </si>
  <si>
    <t>Запозичення</t>
  </si>
  <si>
    <t>Внутрішні запозичення</t>
  </si>
  <si>
    <t>Довгострокові зобов’язання</t>
  </si>
  <si>
    <t>Погашення</t>
  </si>
  <si>
    <t>Внутрішні зобов’язання</t>
  </si>
  <si>
    <t>Зміни обсягів готівкових коштів</t>
  </si>
  <si>
    <t>1211021</t>
  </si>
  <si>
    <t>3718600</t>
  </si>
  <si>
    <t>Забезпечення діяльності водопровідно-каналізаційного господарства</t>
  </si>
  <si>
    <t>21.11.2024 №2978-50/2024</t>
  </si>
  <si>
    <t>Програма діяльності Асоціації «Футбольний клуб «Нафтовик-Долина» на 2025-2027 роки</t>
  </si>
  <si>
    <t>21.11.2024 №2975-50/2024</t>
  </si>
  <si>
    <t>Програма сталого енергетичного розвитку та адаптації до змін клімату Долинської територіальної громади на 2025 - 2027 роки</t>
  </si>
  <si>
    <t>21.11.2024            № 2982-50/2024</t>
  </si>
  <si>
    <t>16.12.2024 №3008-50/2024</t>
  </si>
  <si>
    <t>16.12.2024              № 3007-50/2024</t>
  </si>
  <si>
    <t>Програма розвитку освіти в Долинській міській територіальній громаді на 2025-2027 роки</t>
  </si>
  <si>
    <t>16.12.2024 №3006-50/2024</t>
  </si>
  <si>
    <t>16.12.2024           № 3021-50/2024</t>
  </si>
  <si>
    <t>Програма діяльності комунального підприємства "Долина-Інвест" на 2025 -2027 рр.</t>
  </si>
  <si>
    <t>13.12.2024            № 2997-50/2024</t>
  </si>
  <si>
    <t>Програма розвитку житлово-комунального господарства на 2025-2027 роки</t>
  </si>
  <si>
    <t>13.12.2024 №2992-50/2024</t>
  </si>
  <si>
    <t>Програма розвитку комунального підприємства «Водоканал» Долинської міської ради на 2025-2027 рр.</t>
  </si>
  <si>
    <t>Обслуговування місцевого боргу</t>
  </si>
  <si>
    <t>0170</t>
  </si>
  <si>
    <t>8600</t>
  </si>
  <si>
    <t>1210150</t>
  </si>
  <si>
    <t>1211010</t>
  </si>
  <si>
    <t>Заходи, пов'язані з поліпшенням питної води</t>
  </si>
  <si>
    <t>Внески до статутного капіталу суб’єктів господарювання</t>
  </si>
  <si>
    <t>Програма розвитку комунального підприємства «Водоканал» Долинської міської ради на 2025-2027 рр. (Внески до статутного капіталу</t>
  </si>
  <si>
    <t>Програма підтримки та розвитку КП "Долинська центральна аптека № 18" Долинської міської ради на 2025-2027 роки</t>
  </si>
  <si>
    <t>16.12.2024 №3015-50/2024 </t>
  </si>
  <si>
    <t>1214060</t>
  </si>
  <si>
    <t>1211080</t>
  </si>
  <si>
    <t>Програма розвитку фізичної культури та спорту по Долинській міській ТГ на 2025-2027рр.</t>
  </si>
  <si>
    <t>Програма культурно-мистецьких заходів відділу культури Долинської міської ради на 2025-2027 роки</t>
  </si>
  <si>
    <t>Програма благоустрою Долинської ТГ на 2025-2027 рік</t>
  </si>
  <si>
    <t>Програма "Екологічні заходи на 2025-2027 роки"</t>
  </si>
  <si>
    <t>21.11.2024 № 2982-50/2024</t>
  </si>
  <si>
    <t>1.  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</si>
  <si>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</si>
  <si>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</si>
  <si>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І. Трансферти до загального фонду бюджету</t>
  </si>
  <si>
    <r>
      <t xml:space="preserve">Субвенція з обласного бюджету  </t>
    </r>
    <r>
      <rPr>
        <sz val="10"/>
        <color rgb="FF000000"/>
        <rFont val="Times New Roman"/>
        <family val="1"/>
        <charset val="204"/>
      </rPr>
  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  </r>
  </si>
  <si>
    <r>
      <t xml:space="preserve">Субвенція з обласного бюджету </t>
    </r>
    <r>
      <rPr>
        <sz val="10"/>
        <color rgb="FF000000"/>
        <rFont val="Times New Roman"/>
        <family val="1"/>
        <charset val="204"/>
      </rPr>
      <t xml:space="preserve"> на пільгове медичне обслуговування громадян, які постраждали внаслідок Чорнобильської катастрофи</t>
    </r>
  </si>
  <si>
    <t>Субвенція з обласного бюджету на додаткові виплати ветеранам ОУН-УПА</t>
  </si>
  <si>
    <t>ІІ. Трансферти до спеціального фонду бюджету</t>
  </si>
  <si>
    <t>ВСЬОГО за розділами І, ІІ, у тому числі:</t>
  </si>
  <si>
    <t>загальний фонд</t>
  </si>
  <si>
    <t>спеціальний фонд</t>
  </si>
  <si>
    <t>(код бюджету 0953200000)</t>
  </si>
  <si>
    <t>0953200000</t>
  </si>
  <si>
    <t>Програма підтримки та розвитку КНП «Долинська багатопрофільна лікарня» на 2025-2027 роки</t>
  </si>
  <si>
    <t>витрат бюджету територіальної громади на реалізацію місцевих/регіональних програм у 2026 році</t>
  </si>
  <si>
    <t>на 2026 рік</t>
  </si>
  <si>
    <t>видатків бюджету територіальної громади на 2026 рік</t>
  </si>
  <si>
    <t>Фінансування бюджету територіальної громади на 2026 рік</t>
  </si>
  <si>
    <t>бюджету територіальної громади на 2026 рік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</si>
  <si>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</si>
  <si>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</si>
  <si>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Оброблення (відновлення, у тому числі сортування, та видалення) відходів</t>
  </si>
  <si>
    <t>Програма розвитку туристичної та інвестиційної діяльності на 2026-2028 роки</t>
  </si>
  <si>
    <t>16.10.2025 №4384-62/2025 </t>
  </si>
  <si>
    <t>Програма реконструкції та утримання кладовищ на 2026-2028 роки</t>
  </si>
  <si>
    <t>15.08.2025 №4272-59/2025</t>
  </si>
  <si>
    <t xml:space="preserve">Програма соціального захисту населення Долинської міської територіальної громади </t>
  </si>
  <si>
    <t>15.08.2025    №4271-59/2025</t>
  </si>
  <si>
    <t>Програма забезпечення виконання рішень суду на 2026-2028 роки</t>
  </si>
  <si>
    <t>15.08.2025    №4270-59/2025</t>
  </si>
  <si>
    <t>Програма підтримки розвитку місцевого самоврядування в Долинській міській раді на 2026-2028 роки</t>
  </si>
  <si>
    <t>15.08.2025    №4269-59/2025</t>
  </si>
  <si>
    <t>Програма розвитку агропромислового комплексу Долинської територіальної  громади на 2026-2030 роки</t>
  </si>
  <si>
    <t>15.08.2025    №4263-59/2025</t>
  </si>
  <si>
    <t>Програма розвитку міжнародного співробітництва та проектної діяльності Долинської територіальної громади на 2026-2028 роки</t>
  </si>
  <si>
    <t>11.07.2025    №4214-58/2025</t>
  </si>
  <si>
    <t>Утримання та розвиток автомобільних доріг та дорожньої інфраструктури за рахунок коштів місцевого бюджету</t>
  </si>
  <si>
    <t>Програма будівництва, ремонту та утримання вулично-дорожньої мережі та підвищення безпеки дорожнього руху Долинської територіальної громади  на 2025-2027 роки</t>
  </si>
  <si>
    <t>25.02.2025 №3097-52/2025</t>
  </si>
  <si>
    <t>Програма розвитку та утримання мережі вуличного освітлення населених пунктів Долинської територіальної громади на 2025-2027 роки</t>
  </si>
  <si>
    <t>25.02.2025 №3096-52/2025</t>
  </si>
  <si>
    <t>Від Європейського Союзу, урядів іноземних держав, міжнародних організацій, донорських установ</t>
  </si>
  <si>
    <t>Гранти, що надійшли до місцевих бюджетів</t>
  </si>
  <si>
    <t>1017370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</si>
  <si>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</si>
  <si>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</si>
  <si>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</si>
  <si>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1416091</t>
  </si>
  <si>
    <t xml:space="preserve">Програма «Духовне життя» Долинської громади на 2024-2026 роки </t>
  </si>
  <si>
    <t>29.05.2024                №2672-42/2024</t>
  </si>
  <si>
    <t>1417370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</si>
  <si>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</si>
  <si>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</si>
  <si>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</si>
  <si>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</si>
  <si>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</si>
  <si>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– шкільні автобуси</t>
  </si>
  <si>
    <t>0611261</t>
  </si>
  <si>
    <t>1261</t>
  </si>
  <si>
    <t>0611273</t>
  </si>
  <si>
    <t>1273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</si>
  <si>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</si>
  <si>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</si>
  <si>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0118110</t>
  </si>
  <si>
    <t>0112170</t>
  </si>
  <si>
    <t>0112175</t>
  </si>
  <si>
    <t>Код Програмної класифікації видатків та кредитування місцевого бюджету</t>
  </si>
  <si>
    <t>Найменування бюджетної програми згідно з Типовою програмною класифікацією видатків та кредитування місцевого бюджету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</si>
  <si>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 відповідального виконавця</t>
  </si>
  <si>
    <t>№    з/п</t>
  </si>
  <si>
    <t>Найменування галузі (сектору) для публічного інвестування/ публічного інвестиційного проєкту/ 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</si>
  <si>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</si>
  <si>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проєкту/ програми публічних інвестицій (рік початку і завершення)</t>
  </si>
  <si>
    <t>Загальна вартість публічного інвестиційного проєкту/ програми публічних інвестицій</t>
  </si>
  <si>
    <t>у тому числі за 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</si>
  <si>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</si>
  <si>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</si>
  <si>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</si>
  <si>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</si>
  <si>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</si>
  <si>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Обсяг бюджетних коштів, спрямованих на реалізацію публічного інвестиційного проєкту/ програми публічних інвестицій у 2026 році</t>
  </si>
  <si>
    <t>8110</t>
  </si>
  <si>
    <t>0320</t>
  </si>
  <si>
    <t>Заходи із запобігання та ліквідації надзвичайних ситуацій та наслідків стихійного лиха</t>
  </si>
  <si>
    <t>Комплексна Програма розвитку цивільного захисту на території громади на 2025-2027 роки</t>
  </si>
  <si>
    <t>12.12.2024            № 2987-50/2024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</si>
  <si>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</si>
  <si>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Підготовка та реалізація публічних інвестиційних проектів / програм публічних інвестицій у галузі охорони здоров’я</t>
  </si>
  <si>
    <t>2175</t>
  </si>
  <si>
    <t>2170</t>
  </si>
  <si>
    <t>Освіта та наука</t>
  </si>
  <si>
    <t>DREAM-UA-271025-3D6228BE</t>
  </si>
  <si>
    <t>2025-2026</t>
  </si>
  <si>
    <t>DREAM-UA-071125-340A995C</t>
  </si>
  <si>
    <t>DREAM-UA-081025-6A19FDD6</t>
  </si>
  <si>
    <t>DREAM-UA-041125-4524DA10</t>
  </si>
  <si>
    <t>Охорона здоров’я</t>
  </si>
  <si>
    <t>Долинська міська рада</t>
  </si>
  <si>
    <t>DREAM-UA-131025-89392EEF</t>
  </si>
  <si>
    <t>DREAM-UA-091025-778FD186</t>
  </si>
  <si>
    <t>2025-2027</t>
  </si>
  <si>
    <t>2025-227</t>
  </si>
  <si>
    <t>Муніципальна інфраструктура та послуги</t>
  </si>
  <si>
    <t>DREAM-UA-101125-618EB3BA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</si>
  <si>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</si>
  <si>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1211300</t>
  </si>
  <si>
    <t>Управління житлово-комунального господарства</t>
  </si>
  <si>
    <t>DREAM-UA-071125-07CD8E5A</t>
  </si>
  <si>
    <t>DREAM-UA-121125-0ACC645B</t>
  </si>
  <si>
    <t>DREAM-UA-131025-601084B4</t>
  </si>
  <si>
    <t>2023-2026</t>
  </si>
  <si>
    <t>2023-2027</t>
  </si>
  <si>
    <t>Охорона та раціональне використання природних ресурсів</t>
  </si>
  <si>
    <t xml:space="preserve">публічних інвестицій у розрізі публічних інвестиційних проєктів </t>
  </si>
  <si>
    <t>та програм публічних інвестицій у 2026 році</t>
  </si>
  <si>
    <t>1.1</t>
  </si>
  <si>
    <t>Забезпечення закладів загальної середньої освіти засобами навчання та обладнанням в межах впровадження реформи "Нова українська школа”</t>
  </si>
  <si>
    <t>х</t>
  </si>
  <si>
    <t>1.2</t>
  </si>
  <si>
    <t>Безперешкодний доступ до якісної освіти - шкільні автобуси</t>
  </si>
  <si>
    <t>1.3</t>
  </si>
  <si>
    <t>Капітальний ремонт приміщень протирадіаційного укриття (ПРУ) з обліковим номером 32983 в Долинському ліцеї № 6 "Європейський" Долинської міської ради Івано-Франківської області, розташованого за адресою: м. Долина, вул. Степана Бандери, буд. 8</t>
  </si>
  <si>
    <t>DREAM-UA-281025-E38E59CB</t>
  </si>
  <si>
    <t>Капітальний ремонт харчоблоку, залу для приймання їжі, складських та підсобних приміщень в Солуківському ліцеї Долинської міської ради Івано-Франківської області, розташованого за адресою: с. Солуків, вул. Центральна, 81</t>
  </si>
  <si>
    <t>1.4</t>
  </si>
  <si>
    <t>«SOS дбаємо про здоров’я дітей» (проект в рамках програми Interreg NEXT Польща-Україна 2021-2027)</t>
  </si>
  <si>
    <t>«Долина та Бая-Спріє сприяють зміцненню здоров’я місцевих мешканців» (проект в рамках програми Interreg NEXT Румунія-Україна 2021-2027)</t>
  </si>
  <si>
    <t>2.1</t>
  </si>
  <si>
    <t>2.2</t>
  </si>
  <si>
    <t>2.3</t>
  </si>
  <si>
    <t>Реставраційний ремонт будівлі неврологічного відділу за літерою "А" КНП "Долинська багатопрофільна лікарня" пам'ятки архітектури місцевого значення охоронний номер 1197 по вул. О. Грицей, 15 в м. Долина Калуського району Івано-Франківської області (створення умов для лікування та реабілітації пацієнтів, в тому числі військовослужбовців)</t>
  </si>
  <si>
    <t>3</t>
  </si>
  <si>
    <t>3.1</t>
  </si>
  <si>
    <t>Виконання заходів з енергозбереження – капітальний ремонт (комплексна термомодернізація) Долинського ліцею № 4 по вул. Обліски 16 м.Долина Калуського району Івано-Франківської області</t>
  </si>
  <si>
    <t>Капітальний ремонт водопроводу Ду-400мм по проспекту Незалежності в м. Долина Івано-Франківської області на ділянці від вул. Обліски до школи No7</t>
  </si>
  <si>
    <t>Капітальний ремонт водопроводу Ду-200мм по проспекту Незалежності в м. Долина Івано-Франківської області на ділянці від вул. Обліски, будинок No 24 до будинку No 12 (поштове відділення)</t>
  </si>
  <si>
    <t>3.2</t>
  </si>
  <si>
    <t>3.3</t>
  </si>
  <si>
    <t>3.4</t>
  </si>
  <si>
    <t>Реконструкція дощової та господарсько-побутової каналізації по вул. Чорновола та вул. Молодіжна в м. Долина Івано-Франківської області</t>
  </si>
  <si>
    <t>Управління благоустрою та інфраструктури</t>
  </si>
  <si>
    <t>Штрафні санкції, що застосовуються відповідно до Закону України "Про державне регулювання виробництва і обігу спирту етилового,спиртових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</si>
  <si>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платних послуг, пов’язаних з такою реєстрацією</t>
  </si>
  <si>
    <t>від __.12.2025 № ____-64/2025</t>
  </si>
  <si>
    <t>від __.12.2025 № _____-64/2025</t>
  </si>
  <si>
    <t xml:space="preserve">                                               від __.12.2025 № ____-64/2025</t>
  </si>
  <si>
    <t>від __.12.2025 № _____-6451/2025</t>
  </si>
  <si>
    <t>від __.12.2025 № ______-64/2025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</si>
</sst>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0000&quot;  &quot;"/>
    <numFmt numFmtId="165" formatCode="0&quot;     &quot;"/>
    <numFmt numFmtId="166" formatCode="0&quot;    &quot;"/>
    <numFmt numFmtId="167" formatCode="0&quot;  &quot;"/>
    <numFmt numFmtId="168" formatCode="0000&quot;    &quot;"/>
    <numFmt numFmtId="169" formatCode="0000"/>
    <numFmt numFmtId="170" formatCode="0000000"/>
    <numFmt numFmtId="171" formatCode="0000&quot;     &quot;"/>
  </numFmts>
  <fonts count="4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" fillId="0" borderId="0" xfId="0" applyFont="1"/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" fontId="25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4" fontId="26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2" fillId="0" borderId="0" xfId="0" applyFont="1"/>
    <xf numFmtId="0" fontId="9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/>
    <xf numFmtId="0" fontId="28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167" fontId="29" fillId="0" borderId="1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wrapText="1"/>
    </xf>
    <xf numFmtId="4" fontId="29" fillId="0" borderId="1" xfId="0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4" fontId="30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167" fontId="31" fillId="0" borderId="1" xfId="0" applyNumberFormat="1" applyFont="1" applyBorder="1" applyAlignment="1">
      <alignment horizontal="center" vertical="top" wrapText="1"/>
    </xf>
    <xf numFmtId="0" fontId="31" fillId="0" borderId="1" xfId="0" applyFont="1" applyBorder="1" applyAlignment="1">
      <alignment wrapText="1"/>
    </xf>
    <xf numFmtId="4" fontId="31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167" fontId="29" fillId="0" borderId="1" xfId="0" applyNumberFormat="1" applyFont="1" applyBorder="1" applyAlignment="1">
      <alignment horizontal="center"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169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center" vertical="center"/>
    </xf>
    <xf numFmtId="171" fontId="12" fillId="2" borderId="1" xfId="0" applyNumberFormat="1" applyFont="1" applyFill="1" applyBorder="1" applyAlignment="1">
      <alignment horizontal="center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vertical="center" wrapText="1"/>
    </xf>
    <xf numFmtId="170" fontId="12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4" fontId="34" fillId="2" borderId="1" xfId="0" applyNumberFormat="1" applyFont="1" applyFill="1" applyBorder="1" applyAlignment="1">
      <alignment horizontal="right" vertical="center"/>
    </xf>
    <xf numFmtId="167" fontId="12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vertical="center" wrapText="1"/>
    </xf>
    <xf numFmtId="4" fontId="3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36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6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left" vertical="center" wrapText="1"/>
    </xf>
    <xf numFmtId="1" fontId="28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" fontId="26" fillId="0" borderId="4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center" wrapText="1"/>
    </xf>
    <xf numFmtId="49" fontId="38" fillId="0" borderId="0" xfId="0" applyNumberFormat="1" applyFont="1" applyAlignment="1">
      <alignment wrapText="1"/>
    </xf>
    <xf numFmtId="0" fontId="3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0" fillId="0" borderId="0" xfId="0" applyFont="1"/>
    <xf numFmtId="0" fontId="0" fillId="0" borderId="1" xfId="0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left" vertical="top" wrapText="1"/>
    </xf>
    <xf numFmtId="0" fontId="40" fillId="2" borderId="0" xfId="0" applyFont="1" applyFill="1" applyAlignment="1">
      <alignment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4" fontId="37" fillId="0" borderId="1" xfId="0" applyNumberFormat="1" applyFont="1" applyBorder="1" applyAlignment="1">
      <alignment horizontal="center"/>
    </xf>
    <xf numFmtId="4" fontId="41" fillId="0" borderId="0" xfId="0" applyNumberFormat="1" applyFont="1"/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49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"/>
  <sheetViews>
    <sheetView workbookViewId="0"/>
  </sheetViews>
  <sheetFormatPr defaultRowHeight="15" x14ac:dyDescent="0.25"/>
  <cols>
    <col min="2" max="2" width="44" customWidth="1"/>
    <col min="3" max="3" width="14" customWidth="1"/>
    <col min="4" max="4" width="15.28515625" customWidth="1"/>
    <col min="5" max="5" width="12.7109375" customWidth="1"/>
    <col min="6" max="6" width="13.28515625" customWidth="1"/>
  </cols>
  <sheetData>
    <row r="1" spans="1:6" ht="18.75" x14ac:dyDescent="0.25">
      <c r="A1" s="34"/>
      <c r="B1" s="34"/>
      <c r="C1" s="34"/>
      <c r="D1" s="16" t="s">
        <v>139</v>
      </c>
      <c r="E1" s="34"/>
      <c r="F1" s="34"/>
    </row>
    <row r="2" spans="1:6" ht="18.75" x14ac:dyDescent="0.25">
      <c r="A2" s="34"/>
      <c r="B2" s="34"/>
      <c r="C2" s="34"/>
      <c r="D2" s="17" t="s">
        <v>463</v>
      </c>
      <c r="E2" s="34"/>
      <c r="F2" s="34"/>
    </row>
    <row r="3" spans="1:6" ht="18.75" x14ac:dyDescent="0.25">
      <c r="A3" s="186" t="s">
        <v>137</v>
      </c>
      <c r="B3" s="186"/>
      <c r="C3" s="186"/>
      <c r="D3" s="186"/>
      <c r="E3" s="186"/>
      <c r="F3" s="186"/>
    </row>
    <row r="4" spans="1:6" ht="18.75" x14ac:dyDescent="0.25">
      <c r="A4" s="186" t="s">
        <v>338</v>
      </c>
      <c r="B4" s="186"/>
      <c r="C4" s="186"/>
      <c r="D4" s="186"/>
      <c r="E4" s="186"/>
      <c r="F4" s="186"/>
    </row>
    <row r="5" spans="1:6" x14ac:dyDescent="0.25">
      <c r="A5" s="35" t="s">
        <v>331</v>
      </c>
      <c r="B5" s="34"/>
      <c r="C5" s="34"/>
      <c r="D5" s="34"/>
      <c r="E5" s="34"/>
      <c r="F5" s="34"/>
    </row>
    <row r="6" spans="1:6" x14ac:dyDescent="0.25">
      <c r="A6" s="35"/>
      <c r="B6" s="34"/>
      <c r="C6" s="34"/>
      <c r="D6" s="34"/>
      <c r="E6" s="34"/>
      <c r="F6" s="34" t="s">
        <v>138</v>
      </c>
    </row>
    <row r="7" spans="1:6" x14ac:dyDescent="0.25">
      <c r="A7" s="187" t="s">
        <v>53</v>
      </c>
      <c r="B7" s="187" t="s">
        <v>54</v>
      </c>
      <c r="C7" s="187" t="s">
        <v>55</v>
      </c>
      <c r="D7" s="187" t="s">
        <v>9</v>
      </c>
      <c r="E7" s="187" t="s">
        <v>10</v>
      </c>
      <c r="F7" s="187"/>
    </row>
    <row r="8" spans="1:6" ht="25.5" x14ac:dyDescent="0.25">
      <c r="A8" s="187"/>
      <c r="B8" s="187"/>
      <c r="C8" s="187"/>
      <c r="D8" s="187"/>
      <c r="E8" s="22" t="s">
        <v>56</v>
      </c>
      <c r="F8" s="22" t="s">
        <v>57</v>
      </c>
    </row>
    <row r="9" spans="1:6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</row>
    <row r="10" spans="1:6" x14ac:dyDescent="0.25">
      <c r="A10" s="62">
        <v>10000000</v>
      </c>
      <c r="B10" s="23" t="s">
        <v>58</v>
      </c>
      <c r="C10" s="24">
        <f>SUM(D10:E10)</f>
        <v>627431900</v>
      </c>
      <c r="D10" s="24">
        <f>SUM(D11+D20+D30+D38+D54)</f>
        <v>626941900</v>
      </c>
      <c r="E10" s="24">
        <f>SUM(E11+E20+E30+E38+E54)</f>
        <v>490000</v>
      </c>
      <c r="F10" s="24">
        <f>SUM(F11+F20+F30+F38+F54)</f>
        <v>0</v>
      </c>
    </row>
    <row r="11" spans="1:6" ht="25.5" x14ac:dyDescent="0.25">
      <c r="A11" s="62">
        <v>11000000</v>
      </c>
      <c r="B11" s="23" t="s">
        <v>59</v>
      </c>
      <c r="C11" s="24">
        <f t="shared" ref="C11:C77" si="0">SUM(D11:E11)</f>
        <v>328062233</v>
      </c>
      <c r="D11" s="25">
        <f>SUM(D12+D18)</f>
        <v>328062233</v>
      </c>
      <c r="E11" s="25">
        <v>0</v>
      </c>
      <c r="F11" s="25">
        <v>0</v>
      </c>
    </row>
    <row r="12" spans="1:6" x14ac:dyDescent="0.25">
      <c r="A12" s="26">
        <v>11010000</v>
      </c>
      <c r="B12" s="27" t="s">
        <v>60</v>
      </c>
      <c r="C12" s="24">
        <f t="shared" si="0"/>
        <v>327975233</v>
      </c>
      <c r="D12" s="25">
        <f>SUM(D13:D17)</f>
        <v>327975233</v>
      </c>
      <c r="E12" s="25">
        <f t="shared" ref="E12:F12" si="1">SUM(E13:E17)</f>
        <v>0</v>
      </c>
      <c r="F12" s="25">
        <f t="shared" si="1"/>
        <v>0</v>
      </c>
    </row>
    <row r="13" spans="1:6" ht="38.25" x14ac:dyDescent="0.25">
      <c r="A13" s="26">
        <v>11010100</v>
      </c>
      <c r="B13" s="27" t="s">
        <v>61</v>
      </c>
      <c r="C13" s="24">
        <f t="shared" si="0"/>
        <v>312891233</v>
      </c>
      <c r="D13" s="28">
        <v>312891233</v>
      </c>
      <c r="E13" s="29"/>
      <c r="F13" s="29"/>
    </row>
    <row r="14" spans="1:6" ht="38.25" x14ac:dyDescent="0.25">
      <c r="A14" s="26">
        <v>11010400</v>
      </c>
      <c r="B14" s="27" t="s">
        <v>62</v>
      </c>
      <c r="C14" s="24">
        <f t="shared" si="0"/>
        <v>5273000</v>
      </c>
      <c r="D14" s="28">
        <v>5273000</v>
      </c>
      <c r="E14" s="29"/>
      <c r="F14" s="29"/>
    </row>
    <row r="15" spans="1:6" ht="38.25" x14ac:dyDescent="0.25">
      <c r="A15" s="26">
        <v>11010500</v>
      </c>
      <c r="B15" s="27" t="s">
        <v>63</v>
      </c>
      <c r="C15" s="24">
        <f t="shared" si="0"/>
        <v>7000000</v>
      </c>
      <c r="D15" s="28">
        <v>7000000</v>
      </c>
      <c r="E15" s="29"/>
      <c r="F15" s="29"/>
    </row>
    <row r="16" spans="1:6" ht="25.5" x14ac:dyDescent="0.25">
      <c r="A16" s="53">
        <v>11011200</v>
      </c>
      <c r="B16" s="56" t="s">
        <v>247</v>
      </c>
      <c r="C16" s="24">
        <f t="shared" si="0"/>
        <v>2790000</v>
      </c>
      <c r="D16" s="28">
        <v>2790000</v>
      </c>
      <c r="E16" s="29"/>
      <c r="F16" s="29"/>
    </row>
    <row r="17" spans="1:6" ht="38.25" x14ac:dyDescent="0.25">
      <c r="A17" s="53">
        <v>11011300</v>
      </c>
      <c r="B17" s="56" t="s">
        <v>248</v>
      </c>
      <c r="C17" s="24">
        <f t="shared" si="0"/>
        <v>21000</v>
      </c>
      <c r="D17" s="28">
        <v>21000</v>
      </c>
      <c r="E17" s="29"/>
      <c r="F17" s="29"/>
    </row>
    <row r="18" spans="1:6" x14ac:dyDescent="0.25">
      <c r="A18" s="62">
        <v>11020000</v>
      </c>
      <c r="B18" s="23" t="s">
        <v>64</v>
      </c>
      <c r="C18" s="24">
        <f t="shared" si="0"/>
        <v>87000</v>
      </c>
      <c r="D18" s="25">
        <f>SUM(D19)</f>
        <v>87000</v>
      </c>
      <c r="E18" s="28"/>
      <c r="F18" s="28"/>
    </row>
    <row r="19" spans="1:6" ht="25.5" x14ac:dyDescent="0.25">
      <c r="A19" s="26">
        <v>11020200</v>
      </c>
      <c r="B19" s="27" t="s">
        <v>65</v>
      </c>
      <c r="C19" s="24">
        <f t="shared" si="0"/>
        <v>87000</v>
      </c>
      <c r="D19" s="28">
        <v>87000</v>
      </c>
      <c r="E19" s="28"/>
      <c r="F19" s="28"/>
    </row>
    <row r="20" spans="1:6" ht="25.5" x14ac:dyDescent="0.25">
      <c r="A20" s="62">
        <v>13000000</v>
      </c>
      <c r="B20" s="23" t="s">
        <v>66</v>
      </c>
      <c r="C20" s="24">
        <f t="shared" si="0"/>
        <v>42230300</v>
      </c>
      <c r="D20" s="25">
        <f>SUM(D21+D24+D28)</f>
        <v>42230300</v>
      </c>
      <c r="E20" s="25">
        <f t="shared" ref="E20:F20" si="2">SUM(E21+E24+E28)</f>
        <v>0</v>
      </c>
      <c r="F20" s="25">
        <f t="shared" si="2"/>
        <v>0</v>
      </c>
    </row>
    <row r="21" spans="1:6" ht="25.5" x14ac:dyDescent="0.25">
      <c r="A21" s="62">
        <v>13010000</v>
      </c>
      <c r="B21" s="23" t="s">
        <v>67</v>
      </c>
      <c r="C21" s="24">
        <f t="shared" si="0"/>
        <v>1455000</v>
      </c>
      <c r="D21" s="25">
        <f>SUM(D22:D23)</f>
        <v>1455000</v>
      </c>
      <c r="E21" s="25">
        <v>0</v>
      </c>
      <c r="F21" s="25">
        <v>0</v>
      </c>
    </row>
    <row r="22" spans="1:6" ht="38.25" x14ac:dyDescent="0.25">
      <c r="A22" s="26">
        <v>13010100</v>
      </c>
      <c r="B22" s="27" t="s">
        <v>68</v>
      </c>
      <c r="C22" s="24">
        <f t="shared" si="0"/>
        <v>480000</v>
      </c>
      <c r="D22" s="28">
        <v>480000</v>
      </c>
      <c r="E22" s="28"/>
      <c r="F22" s="29"/>
    </row>
    <row r="23" spans="1:6" ht="63.75" x14ac:dyDescent="0.25">
      <c r="A23" s="26">
        <v>13010200</v>
      </c>
      <c r="B23" s="27" t="s">
        <v>69</v>
      </c>
      <c r="C23" s="24">
        <f t="shared" si="0"/>
        <v>975000</v>
      </c>
      <c r="D23" s="28">
        <v>975000</v>
      </c>
      <c r="E23" s="28"/>
      <c r="F23" s="29"/>
    </row>
    <row r="24" spans="1:6" x14ac:dyDescent="0.25">
      <c r="A24" s="62">
        <v>13030000</v>
      </c>
      <c r="B24" s="23" t="s">
        <v>70</v>
      </c>
      <c r="C24" s="24">
        <f>SUM(D24:E24)</f>
        <v>40730300</v>
      </c>
      <c r="D24" s="25">
        <f>SUM(D25:D27)</f>
        <v>40730300</v>
      </c>
      <c r="E24" s="25">
        <v>0</v>
      </c>
      <c r="F24" s="25">
        <v>0</v>
      </c>
    </row>
    <row r="25" spans="1:6" ht="38.25" x14ac:dyDescent="0.25">
      <c r="A25" s="26">
        <v>13030100</v>
      </c>
      <c r="B25" s="27" t="s">
        <v>71</v>
      </c>
      <c r="C25" s="24">
        <f t="shared" si="0"/>
        <v>730300</v>
      </c>
      <c r="D25" s="28">
        <v>730300</v>
      </c>
      <c r="E25" s="28"/>
      <c r="F25" s="28"/>
    </row>
    <row r="26" spans="1:6" ht="25.5" x14ac:dyDescent="0.25">
      <c r="A26" s="26">
        <v>13030700</v>
      </c>
      <c r="B26" s="27" t="s">
        <v>72</v>
      </c>
      <c r="C26" s="24">
        <f t="shared" si="0"/>
        <v>26000000</v>
      </c>
      <c r="D26" s="28">
        <v>26000000</v>
      </c>
      <c r="E26" s="29"/>
      <c r="F26" s="29"/>
    </row>
    <row r="27" spans="1:6" ht="25.5" x14ac:dyDescent="0.25">
      <c r="A27" s="26">
        <v>13030800</v>
      </c>
      <c r="B27" s="27" t="s">
        <v>73</v>
      </c>
      <c r="C27" s="24">
        <f t="shared" si="0"/>
        <v>14000000</v>
      </c>
      <c r="D27" s="28">
        <v>14000000</v>
      </c>
      <c r="E27" s="29"/>
      <c r="F27" s="29"/>
    </row>
    <row r="28" spans="1:6" ht="25.5" x14ac:dyDescent="0.25">
      <c r="A28" s="60">
        <v>13040000</v>
      </c>
      <c r="B28" s="54" t="s">
        <v>249</v>
      </c>
      <c r="C28" s="24">
        <f t="shared" si="0"/>
        <v>45000</v>
      </c>
      <c r="D28" s="25">
        <f>SUM(D29)</f>
        <v>45000</v>
      </c>
      <c r="E28" s="25">
        <f t="shared" ref="E28:F28" si="3">SUM(E29)</f>
        <v>0</v>
      </c>
      <c r="F28" s="25">
        <f t="shared" si="3"/>
        <v>0</v>
      </c>
    </row>
    <row r="29" spans="1:6" ht="25.5" x14ac:dyDescent="0.25">
      <c r="A29" s="26">
        <v>13040100</v>
      </c>
      <c r="B29" s="27" t="s">
        <v>74</v>
      </c>
      <c r="C29" s="24">
        <f t="shared" si="0"/>
        <v>45000</v>
      </c>
      <c r="D29" s="28">
        <v>45000</v>
      </c>
      <c r="E29" s="29"/>
      <c r="F29" s="29"/>
    </row>
    <row r="30" spans="1:6" x14ac:dyDescent="0.25">
      <c r="A30" s="62">
        <v>14000000</v>
      </c>
      <c r="B30" s="23" t="s">
        <v>75</v>
      </c>
      <c r="C30" s="24">
        <f t="shared" si="0"/>
        <v>51350000</v>
      </c>
      <c r="D30" s="25">
        <f>SUM(D31+D33+D35)</f>
        <v>51350000</v>
      </c>
      <c r="E30" s="25">
        <f t="shared" ref="E30:F30" si="4">SUM(E31+E33+E35)</f>
        <v>0</v>
      </c>
      <c r="F30" s="25">
        <f t="shared" si="4"/>
        <v>0</v>
      </c>
    </row>
    <row r="31" spans="1:6" ht="25.5" x14ac:dyDescent="0.25">
      <c r="A31" s="62">
        <v>14020000</v>
      </c>
      <c r="B31" s="23" t="s">
        <v>76</v>
      </c>
      <c r="C31" s="24">
        <f t="shared" si="0"/>
        <v>3342000</v>
      </c>
      <c r="D31" s="25">
        <f>SUM(D32)</f>
        <v>3342000</v>
      </c>
      <c r="E31" s="25">
        <v>0</v>
      </c>
      <c r="F31" s="25">
        <v>0</v>
      </c>
    </row>
    <row r="32" spans="1:6" x14ac:dyDescent="0.25">
      <c r="A32" s="26">
        <v>14021900</v>
      </c>
      <c r="B32" s="27" t="s">
        <v>77</v>
      </c>
      <c r="C32" s="24">
        <f t="shared" si="0"/>
        <v>3342000</v>
      </c>
      <c r="D32" s="28">
        <v>3342000</v>
      </c>
      <c r="E32" s="28"/>
      <c r="F32" s="28"/>
    </row>
    <row r="33" spans="1:6" ht="25.5" x14ac:dyDescent="0.25">
      <c r="A33" s="62">
        <v>14030000</v>
      </c>
      <c r="B33" s="23" t="s">
        <v>78</v>
      </c>
      <c r="C33" s="24">
        <f>SUM(D33:E33)</f>
        <v>33633000</v>
      </c>
      <c r="D33" s="25">
        <f>SUM(D34)</f>
        <v>33633000</v>
      </c>
      <c r="E33" s="25">
        <v>0</v>
      </c>
      <c r="F33" s="25">
        <v>0</v>
      </c>
    </row>
    <row r="34" spans="1:6" x14ac:dyDescent="0.25">
      <c r="A34" s="26">
        <v>14031900</v>
      </c>
      <c r="B34" s="27" t="s">
        <v>77</v>
      </c>
      <c r="C34" s="24">
        <f>SUM(D34:E34)</f>
        <v>33633000</v>
      </c>
      <c r="D34" s="28">
        <v>33633000</v>
      </c>
      <c r="E34" s="28"/>
      <c r="F34" s="29"/>
    </row>
    <row r="35" spans="1:6" ht="38.25" x14ac:dyDescent="0.25">
      <c r="A35" s="60">
        <v>14040000</v>
      </c>
      <c r="B35" s="54" t="s">
        <v>250</v>
      </c>
      <c r="C35" s="24">
        <f t="shared" si="0"/>
        <v>14375000</v>
      </c>
      <c r="D35" s="25">
        <f>SUM(D36:D37)</f>
        <v>14375000</v>
      </c>
      <c r="E35" s="25">
        <f t="shared" ref="E35:F35" si="5">SUM(E36:E37)</f>
        <v>0</v>
      </c>
      <c r="F35" s="25">
        <f t="shared" si="5"/>
        <v>0</v>
      </c>
    </row>
    <row r="36" spans="1:6" ht="89.25" x14ac:dyDescent="0.25">
      <c r="A36" s="61">
        <v>14040100</v>
      </c>
      <c r="B36" s="27" t="s">
        <v>79</v>
      </c>
      <c r="C36" s="24">
        <f t="shared" si="0"/>
        <v>8300000</v>
      </c>
      <c r="D36" s="28">
        <v>8300000</v>
      </c>
      <c r="E36" s="28"/>
      <c r="F36" s="29"/>
    </row>
    <row r="37" spans="1:6" ht="63.75" x14ac:dyDescent="0.25">
      <c r="A37" s="61">
        <v>14040200</v>
      </c>
      <c r="B37" s="27" t="s">
        <v>80</v>
      </c>
      <c r="C37" s="24">
        <f t="shared" si="0"/>
        <v>6075000</v>
      </c>
      <c r="D37" s="28">
        <v>6075000</v>
      </c>
      <c r="E37" s="28"/>
      <c r="F37" s="29"/>
    </row>
    <row r="38" spans="1:6" x14ac:dyDescent="0.25">
      <c r="A38" s="62">
        <v>18000000</v>
      </c>
      <c r="B38" s="23" t="s">
        <v>81</v>
      </c>
      <c r="C38" s="24">
        <f t="shared" si="0"/>
        <v>205299367</v>
      </c>
      <c r="D38" s="25">
        <f>SUM(D39+D47+D50)</f>
        <v>205299367</v>
      </c>
      <c r="E38" s="25">
        <v>0</v>
      </c>
      <c r="F38" s="24">
        <v>0</v>
      </c>
    </row>
    <row r="39" spans="1:6" x14ac:dyDescent="0.25">
      <c r="A39" s="62">
        <v>18010000</v>
      </c>
      <c r="B39" s="23" t="s">
        <v>82</v>
      </c>
      <c r="C39" s="24">
        <f t="shared" si="0"/>
        <v>133243451</v>
      </c>
      <c r="D39" s="25">
        <f>SUM(D40:D46)</f>
        <v>133243451</v>
      </c>
      <c r="E39" s="25">
        <f>SUM(E40:E46)</f>
        <v>0</v>
      </c>
      <c r="F39" s="25">
        <f>SUM(F40:F46)</f>
        <v>0</v>
      </c>
    </row>
    <row r="40" spans="1:6" ht="38.25" x14ac:dyDescent="0.25">
      <c r="A40" s="26">
        <v>18010200</v>
      </c>
      <c r="B40" s="27" t="s">
        <v>83</v>
      </c>
      <c r="C40" s="24">
        <f t="shared" si="0"/>
        <v>2465200</v>
      </c>
      <c r="D40" s="28">
        <v>2465200</v>
      </c>
      <c r="E40" s="28"/>
      <c r="F40" s="29"/>
    </row>
    <row r="41" spans="1:6" ht="38.25" x14ac:dyDescent="0.25">
      <c r="A41" s="26">
        <v>18010300</v>
      </c>
      <c r="B41" s="27" t="s">
        <v>84</v>
      </c>
      <c r="C41" s="24">
        <f t="shared" si="0"/>
        <v>7100000</v>
      </c>
      <c r="D41" s="28">
        <v>7100000</v>
      </c>
      <c r="E41" s="28"/>
      <c r="F41" s="29"/>
    </row>
    <row r="42" spans="1:6" ht="38.25" x14ac:dyDescent="0.25">
      <c r="A42" s="26">
        <v>18010400</v>
      </c>
      <c r="B42" s="27" t="s">
        <v>85</v>
      </c>
      <c r="C42" s="24">
        <f t="shared" si="0"/>
        <v>6300000</v>
      </c>
      <c r="D42" s="28">
        <v>6300000</v>
      </c>
      <c r="E42" s="28"/>
      <c r="F42" s="29"/>
    </row>
    <row r="43" spans="1:6" x14ac:dyDescent="0.25">
      <c r="A43" s="26">
        <v>18010500</v>
      </c>
      <c r="B43" s="27" t="s">
        <v>86</v>
      </c>
      <c r="C43" s="24">
        <f t="shared" si="0"/>
        <v>43254400</v>
      </c>
      <c r="D43" s="28">
        <v>43254400</v>
      </c>
      <c r="E43" s="28"/>
      <c r="F43" s="29"/>
    </row>
    <row r="44" spans="1:6" x14ac:dyDescent="0.25">
      <c r="A44" s="26">
        <v>18010600</v>
      </c>
      <c r="B44" s="27" t="s">
        <v>87</v>
      </c>
      <c r="C44" s="24">
        <f t="shared" si="0"/>
        <v>64524121</v>
      </c>
      <c r="D44" s="28">
        <v>64524121</v>
      </c>
      <c r="E44" s="28"/>
      <c r="F44" s="29"/>
    </row>
    <row r="45" spans="1:6" x14ac:dyDescent="0.25">
      <c r="A45" s="26">
        <v>18010700</v>
      </c>
      <c r="B45" s="27" t="s">
        <v>88</v>
      </c>
      <c r="C45" s="24">
        <f t="shared" si="0"/>
        <v>3297430</v>
      </c>
      <c r="D45" s="28">
        <v>3297430</v>
      </c>
      <c r="E45" s="28"/>
      <c r="F45" s="29"/>
    </row>
    <row r="46" spans="1:6" x14ac:dyDescent="0.25">
      <c r="A46" s="26">
        <v>18010900</v>
      </c>
      <c r="B46" s="27" t="s">
        <v>89</v>
      </c>
      <c r="C46" s="24">
        <f t="shared" si="0"/>
        <v>6302300</v>
      </c>
      <c r="D46" s="28">
        <v>6302300</v>
      </c>
      <c r="E46" s="28"/>
      <c r="F46" s="29"/>
    </row>
    <row r="47" spans="1:6" x14ac:dyDescent="0.25">
      <c r="A47" s="22">
        <v>18030000</v>
      </c>
      <c r="B47" s="30" t="s">
        <v>90</v>
      </c>
      <c r="C47" s="24">
        <f t="shared" si="0"/>
        <v>47200</v>
      </c>
      <c r="D47" s="24">
        <f>SUM(D48:D49)</f>
        <v>47200</v>
      </c>
      <c r="E47" s="24">
        <v>0</v>
      </c>
      <c r="F47" s="31">
        <v>0</v>
      </c>
    </row>
    <row r="48" spans="1:6" ht="25.5" x14ac:dyDescent="0.25">
      <c r="A48" s="32">
        <v>18030100</v>
      </c>
      <c r="B48" s="9" t="s">
        <v>91</v>
      </c>
      <c r="C48" s="24">
        <f t="shared" si="0"/>
        <v>8300</v>
      </c>
      <c r="D48" s="31">
        <v>8300</v>
      </c>
      <c r="E48" s="31"/>
      <c r="F48" s="31"/>
    </row>
    <row r="49" spans="1:6" x14ac:dyDescent="0.25">
      <c r="A49" s="32">
        <v>18030200</v>
      </c>
      <c r="B49" s="9" t="s">
        <v>92</v>
      </c>
      <c r="C49" s="24">
        <f t="shared" si="0"/>
        <v>38900</v>
      </c>
      <c r="D49" s="31">
        <v>38900</v>
      </c>
      <c r="E49" s="31"/>
      <c r="F49" s="31"/>
    </row>
    <row r="50" spans="1:6" x14ac:dyDescent="0.25">
      <c r="A50" s="22">
        <v>18050000</v>
      </c>
      <c r="B50" s="30" t="s">
        <v>93</v>
      </c>
      <c r="C50" s="24">
        <f t="shared" si="0"/>
        <v>72008716</v>
      </c>
      <c r="D50" s="24">
        <f>SUM(D51:D53)</f>
        <v>72008716</v>
      </c>
      <c r="E50" s="24">
        <v>0</v>
      </c>
      <c r="F50" s="31">
        <v>0</v>
      </c>
    </row>
    <row r="51" spans="1:6" x14ac:dyDescent="0.25">
      <c r="A51" s="32">
        <v>18050300</v>
      </c>
      <c r="B51" s="9" t="s">
        <v>94</v>
      </c>
      <c r="C51" s="24">
        <f t="shared" si="0"/>
        <v>6545100</v>
      </c>
      <c r="D51" s="31">
        <v>6545100</v>
      </c>
      <c r="E51" s="31"/>
      <c r="F51" s="31"/>
    </row>
    <row r="52" spans="1:6" x14ac:dyDescent="0.25">
      <c r="A52" s="32">
        <v>18050400</v>
      </c>
      <c r="B52" s="9" t="s">
        <v>95</v>
      </c>
      <c r="C52" s="24">
        <f t="shared" si="0"/>
        <v>64975000</v>
      </c>
      <c r="D52" s="31">
        <v>64975000</v>
      </c>
      <c r="E52" s="31"/>
      <c r="F52" s="31"/>
    </row>
    <row r="53" spans="1:6" ht="63.75" x14ac:dyDescent="0.25">
      <c r="A53" s="32">
        <v>18050500</v>
      </c>
      <c r="B53" s="9" t="s">
        <v>96</v>
      </c>
      <c r="C53" s="24">
        <f t="shared" si="0"/>
        <v>488616</v>
      </c>
      <c r="D53" s="31">
        <v>488616</v>
      </c>
      <c r="E53" s="31"/>
      <c r="F53" s="31"/>
    </row>
    <row r="54" spans="1:6" x14ac:dyDescent="0.25">
      <c r="A54" s="22">
        <v>19000000</v>
      </c>
      <c r="B54" s="30" t="s">
        <v>97</v>
      </c>
      <c r="C54" s="24">
        <f t="shared" si="0"/>
        <v>490000</v>
      </c>
      <c r="D54" s="24">
        <v>0</v>
      </c>
      <c r="E54" s="24">
        <f>SUM(E55)</f>
        <v>490000</v>
      </c>
      <c r="F54" s="31">
        <v>0</v>
      </c>
    </row>
    <row r="55" spans="1:6" x14ac:dyDescent="0.25">
      <c r="A55" s="32">
        <v>19010000</v>
      </c>
      <c r="B55" s="9" t="s">
        <v>98</v>
      </c>
      <c r="C55" s="24">
        <f t="shared" si="0"/>
        <v>490000</v>
      </c>
      <c r="D55" s="31">
        <v>0</v>
      </c>
      <c r="E55" s="24">
        <f>SUM(E56:E58)</f>
        <v>490000</v>
      </c>
      <c r="F55" s="31">
        <v>0</v>
      </c>
    </row>
    <row r="56" spans="1:6" ht="63.75" x14ac:dyDescent="0.25">
      <c r="A56" s="32">
        <v>19010100</v>
      </c>
      <c r="B56" s="9" t="s">
        <v>99</v>
      </c>
      <c r="C56" s="24">
        <f t="shared" si="0"/>
        <v>390000</v>
      </c>
      <c r="D56" s="31"/>
      <c r="E56" s="31">
        <v>390000</v>
      </c>
      <c r="F56" s="31"/>
    </row>
    <row r="57" spans="1:6" ht="25.5" x14ac:dyDescent="0.25">
      <c r="A57" s="32">
        <v>19010200</v>
      </c>
      <c r="B57" s="9" t="s">
        <v>100</v>
      </c>
      <c r="C57" s="24">
        <f t="shared" si="0"/>
        <v>50000</v>
      </c>
      <c r="D57" s="31"/>
      <c r="E57" s="31">
        <v>50000</v>
      </c>
      <c r="F57" s="31"/>
    </row>
    <row r="58" spans="1:6" ht="51" x14ac:dyDescent="0.25">
      <c r="A58" s="32">
        <v>19010300</v>
      </c>
      <c r="B58" s="9" t="s">
        <v>101</v>
      </c>
      <c r="C58" s="24">
        <f t="shared" si="0"/>
        <v>50000</v>
      </c>
      <c r="D58" s="31"/>
      <c r="E58" s="31">
        <v>50000</v>
      </c>
      <c r="F58" s="31"/>
    </row>
    <row r="59" spans="1:6" x14ac:dyDescent="0.25">
      <c r="A59" s="22">
        <v>20000000</v>
      </c>
      <c r="B59" s="30" t="s">
        <v>102</v>
      </c>
      <c r="C59" s="24">
        <f t="shared" si="0"/>
        <v>16143951</v>
      </c>
      <c r="D59" s="24">
        <f>SUM(D60+D67+D79+D84)</f>
        <v>8608100</v>
      </c>
      <c r="E59" s="24">
        <f>SUM(E60+E67+E79+E84)</f>
        <v>7535851</v>
      </c>
      <c r="F59" s="24">
        <f>SUM(F60+F67+F79+F84)</f>
        <v>0</v>
      </c>
    </row>
    <row r="60" spans="1:6" ht="25.5" x14ac:dyDescent="0.25">
      <c r="A60" s="22">
        <v>21000000</v>
      </c>
      <c r="B60" s="30" t="s">
        <v>103</v>
      </c>
      <c r="C60" s="24">
        <f t="shared" si="0"/>
        <v>1132900</v>
      </c>
      <c r="D60" s="24">
        <f>SUM(D61+D63)</f>
        <v>1132900</v>
      </c>
      <c r="E60" s="24">
        <v>0</v>
      </c>
      <c r="F60" s="24">
        <v>0</v>
      </c>
    </row>
    <row r="61" spans="1:6" ht="89.25" x14ac:dyDescent="0.25">
      <c r="A61" s="22">
        <v>21010000</v>
      </c>
      <c r="B61" s="30" t="s">
        <v>104</v>
      </c>
      <c r="C61" s="24">
        <f t="shared" si="0"/>
        <v>72900</v>
      </c>
      <c r="D61" s="24">
        <f>SUM(D62)</f>
        <v>72900</v>
      </c>
      <c r="E61" s="24">
        <v>0</v>
      </c>
      <c r="F61" s="24">
        <v>0</v>
      </c>
    </row>
    <row r="62" spans="1:6" ht="38.25" x14ac:dyDescent="0.25">
      <c r="A62" s="32">
        <v>21010300</v>
      </c>
      <c r="B62" s="9" t="s">
        <v>105</v>
      </c>
      <c r="C62" s="24">
        <f t="shared" si="0"/>
        <v>72900</v>
      </c>
      <c r="D62" s="31">
        <v>72900</v>
      </c>
      <c r="E62" s="31"/>
      <c r="F62" s="31"/>
    </row>
    <row r="63" spans="1:6" x14ac:dyDescent="0.25">
      <c r="A63" s="22">
        <v>21080000</v>
      </c>
      <c r="B63" s="30" t="s">
        <v>106</v>
      </c>
      <c r="C63" s="24">
        <f t="shared" si="0"/>
        <v>1060000</v>
      </c>
      <c r="D63" s="24">
        <f>SUM(D64:D66)</f>
        <v>1060000</v>
      </c>
      <c r="E63" s="24">
        <v>0</v>
      </c>
      <c r="F63" s="24">
        <v>0</v>
      </c>
    </row>
    <row r="64" spans="1:6" x14ac:dyDescent="0.25">
      <c r="A64" s="32">
        <v>21081100</v>
      </c>
      <c r="B64" s="9" t="s">
        <v>107</v>
      </c>
      <c r="C64" s="24">
        <f t="shared" si="0"/>
        <v>280000</v>
      </c>
      <c r="D64" s="31">
        <v>280000</v>
      </c>
      <c r="E64" s="31"/>
      <c r="F64" s="31"/>
    </row>
    <row r="65" spans="1:6" ht="89.25" x14ac:dyDescent="0.25">
      <c r="A65" s="32">
        <v>21081500</v>
      </c>
      <c r="B65" s="9" t="s">
        <v>461</v>
      </c>
      <c r="C65" s="24">
        <f t="shared" si="0"/>
        <v>640000</v>
      </c>
      <c r="D65" s="31">
        <v>640000</v>
      </c>
      <c r="E65" s="31"/>
      <c r="F65" s="31"/>
    </row>
    <row r="66" spans="1:6" ht="51" x14ac:dyDescent="0.25">
      <c r="A66" s="33">
        <v>21081800</v>
      </c>
      <c r="B66" s="9" t="s">
        <v>108</v>
      </c>
      <c r="C66" s="24">
        <f t="shared" si="0"/>
        <v>140000</v>
      </c>
      <c r="D66" s="31">
        <v>140000</v>
      </c>
      <c r="E66" s="31"/>
      <c r="F66" s="31"/>
    </row>
    <row r="67" spans="1:6" ht="25.5" x14ac:dyDescent="0.25">
      <c r="A67" s="22">
        <v>22000000</v>
      </c>
      <c r="B67" s="30" t="s">
        <v>109</v>
      </c>
      <c r="C67" s="24">
        <f t="shared" si="0"/>
        <v>5511200</v>
      </c>
      <c r="D67" s="24">
        <f>SUM(D68+D73+D75+D78)</f>
        <v>5511200</v>
      </c>
      <c r="E67" s="24">
        <v>0</v>
      </c>
      <c r="F67" s="24">
        <v>0</v>
      </c>
    </row>
    <row r="68" spans="1:6" x14ac:dyDescent="0.25">
      <c r="A68" s="22">
        <v>22010000</v>
      </c>
      <c r="B68" s="30" t="s">
        <v>110</v>
      </c>
      <c r="C68" s="24">
        <f t="shared" si="0"/>
        <v>3177000</v>
      </c>
      <c r="D68" s="24">
        <f>SUM(D69:D72)</f>
        <v>3177000</v>
      </c>
      <c r="E68" s="24"/>
      <c r="F68" s="24"/>
    </row>
    <row r="69" spans="1:6" ht="38.25" x14ac:dyDescent="0.25">
      <c r="A69" s="32">
        <v>22010300</v>
      </c>
      <c r="B69" s="9" t="s">
        <v>111</v>
      </c>
      <c r="C69" s="24">
        <f t="shared" si="0"/>
        <v>110000</v>
      </c>
      <c r="D69" s="31">
        <v>110000</v>
      </c>
      <c r="E69" s="31"/>
      <c r="F69" s="31"/>
    </row>
    <row r="70" spans="1:6" x14ac:dyDescent="0.25">
      <c r="A70" s="32">
        <v>22012500</v>
      </c>
      <c r="B70" s="9" t="s">
        <v>112</v>
      </c>
      <c r="C70" s="24">
        <f t="shared" si="0"/>
        <v>2400000</v>
      </c>
      <c r="D70" s="31">
        <v>2400000</v>
      </c>
      <c r="E70" s="31"/>
      <c r="F70" s="31"/>
    </row>
    <row r="71" spans="1:6" ht="25.5" x14ac:dyDescent="0.25">
      <c r="A71" s="32">
        <v>22012600</v>
      </c>
      <c r="B71" s="9" t="s">
        <v>113</v>
      </c>
      <c r="C71" s="24">
        <f t="shared" si="0"/>
        <v>664000</v>
      </c>
      <c r="D71" s="31">
        <v>664000</v>
      </c>
      <c r="E71" s="31"/>
      <c r="F71" s="31"/>
    </row>
    <row r="72" spans="1:6" ht="102" x14ac:dyDescent="0.25">
      <c r="A72" s="32">
        <v>22012900</v>
      </c>
      <c r="B72" s="9" t="s">
        <v>462</v>
      </c>
      <c r="C72" s="24">
        <f t="shared" si="0"/>
        <v>3000</v>
      </c>
      <c r="D72" s="31">
        <v>3000</v>
      </c>
      <c r="E72" s="31"/>
      <c r="F72" s="31"/>
    </row>
    <row r="73" spans="1:6" ht="38.25" x14ac:dyDescent="0.25">
      <c r="A73" s="60">
        <v>22080000</v>
      </c>
      <c r="B73" s="54" t="s">
        <v>251</v>
      </c>
      <c r="C73" s="24">
        <f t="shared" si="0"/>
        <v>2300000</v>
      </c>
      <c r="D73" s="24">
        <f>SUM(D74)</f>
        <v>2300000</v>
      </c>
      <c r="E73" s="24">
        <f t="shared" ref="E73:F73" si="6">SUM(E74)</f>
        <v>0</v>
      </c>
      <c r="F73" s="24">
        <f t="shared" si="6"/>
        <v>0</v>
      </c>
    </row>
    <row r="74" spans="1:6" ht="38.25" x14ac:dyDescent="0.25">
      <c r="A74" s="53">
        <v>22080400</v>
      </c>
      <c r="B74" s="56" t="s">
        <v>252</v>
      </c>
      <c r="C74" s="24">
        <f t="shared" si="0"/>
        <v>2300000</v>
      </c>
      <c r="D74" s="31">
        <v>2300000</v>
      </c>
      <c r="E74" s="31"/>
      <c r="F74" s="31"/>
    </row>
    <row r="75" spans="1:6" x14ac:dyDescent="0.25">
      <c r="A75" s="62">
        <v>22090000</v>
      </c>
      <c r="B75" s="23" t="s">
        <v>114</v>
      </c>
      <c r="C75" s="24">
        <f t="shared" si="0"/>
        <v>30000</v>
      </c>
      <c r="D75" s="25">
        <f>SUM(D76:D77)</f>
        <v>30000</v>
      </c>
      <c r="E75" s="25">
        <v>0</v>
      </c>
      <c r="F75" s="25">
        <v>0</v>
      </c>
    </row>
    <row r="76" spans="1:6" ht="38.25" x14ac:dyDescent="0.25">
      <c r="A76" s="26">
        <v>22090100</v>
      </c>
      <c r="B76" s="27" t="s">
        <v>115</v>
      </c>
      <c r="C76" s="24">
        <f t="shared" si="0"/>
        <v>20000</v>
      </c>
      <c r="D76" s="28">
        <v>20000</v>
      </c>
      <c r="E76" s="28"/>
      <c r="F76" s="29"/>
    </row>
    <row r="77" spans="1:6" ht="38.25" x14ac:dyDescent="0.25">
      <c r="A77" s="26">
        <v>22090400</v>
      </c>
      <c r="B77" s="27" t="s">
        <v>116</v>
      </c>
      <c r="C77" s="24">
        <f t="shared" si="0"/>
        <v>10000</v>
      </c>
      <c r="D77" s="28">
        <v>10000</v>
      </c>
      <c r="E77" s="28"/>
      <c r="F77" s="29"/>
    </row>
    <row r="78" spans="1:6" ht="63.75" x14ac:dyDescent="0.25">
      <c r="A78" s="26">
        <v>22130000</v>
      </c>
      <c r="B78" s="27" t="s">
        <v>117</v>
      </c>
      <c r="C78" s="24">
        <f t="shared" ref="C78:C106" si="7">SUM(D78:E78)</f>
        <v>4200</v>
      </c>
      <c r="D78" s="28">
        <v>4200</v>
      </c>
      <c r="E78" s="28"/>
      <c r="F78" s="29"/>
    </row>
    <row r="79" spans="1:6" x14ac:dyDescent="0.25">
      <c r="A79" s="62">
        <v>24000000</v>
      </c>
      <c r="B79" s="23" t="s">
        <v>118</v>
      </c>
      <c r="C79" s="24">
        <f t="shared" si="7"/>
        <v>1999300</v>
      </c>
      <c r="D79" s="25">
        <f>SUM(D80)</f>
        <v>1964000</v>
      </c>
      <c r="E79" s="25">
        <f t="shared" ref="E79:F79" si="8">SUM(E80)</f>
        <v>35300</v>
      </c>
      <c r="F79" s="25">
        <f t="shared" si="8"/>
        <v>0</v>
      </c>
    </row>
    <row r="80" spans="1:6" x14ac:dyDescent="0.25">
      <c r="A80" s="62">
        <v>24060000</v>
      </c>
      <c r="B80" s="23" t="s">
        <v>106</v>
      </c>
      <c r="C80" s="24">
        <f t="shared" si="7"/>
        <v>1999300</v>
      </c>
      <c r="D80" s="25">
        <f>SUM(D81:D83)</f>
        <v>1964000</v>
      </c>
      <c r="E80" s="25">
        <f t="shared" ref="E80:F80" si="9">SUM(E81:E83)</f>
        <v>35300</v>
      </c>
      <c r="F80" s="25">
        <f t="shared" si="9"/>
        <v>0</v>
      </c>
    </row>
    <row r="81" spans="1:6" x14ac:dyDescent="0.25">
      <c r="A81" s="26">
        <v>24060300</v>
      </c>
      <c r="B81" s="27" t="s">
        <v>106</v>
      </c>
      <c r="C81" s="24">
        <f t="shared" si="7"/>
        <v>306000</v>
      </c>
      <c r="D81" s="28">
        <v>306000</v>
      </c>
      <c r="E81" s="28"/>
      <c r="F81" s="31"/>
    </row>
    <row r="82" spans="1:6" ht="51" x14ac:dyDescent="0.25">
      <c r="A82" s="26">
        <v>24062100</v>
      </c>
      <c r="B82" s="27" t="s">
        <v>119</v>
      </c>
      <c r="C82" s="24">
        <f t="shared" si="7"/>
        <v>35300</v>
      </c>
      <c r="D82" s="28"/>
      <c r="E82" s="28">
        <v>35300</v>
      </c>
      <c r="F82" s="29"/>
    </row>
    <row r="83" spans="1:6" ht="63.75" x14ac:dyDescent="0.25">
      <c r="A83" s="26">
        <v>24062200</v>
      </c>
      <c r="B83" s="27" t="s">
        <v>120</v>
      </c>
      <c r="C83" s="24">
        <f t="shared" si="7"/>
        <v>1658000</v>
      </c>
      <c r="D83" s="28">
        <v>1658000</v>
      </c>
      <c r="E83" s="28"/>
      <c r="F83" s="29"/>
    </row>
    <row r="84" spans="1:6" x14ac:dyDescent="0.25">
      <c r="A84" s="22">
        <v>25000000</v>
      </c>
      <c r="B84" s="30" t="s">
        <v>121</v>
      </c>
      <c r="C84" s="24">
        <f t="shared" si="7"/>
        <v>7500551</v>
      </c>
      <c r="D84" s="24">
        <f>SUM(D85)</f>
        <v>0</v>
      </c>
      <c r="E84" s="24">
        <f>SUM(E85)</f>
        <v>7500551</v>
      </c>
      <c r="F84" s="24">
        <v>0</v>
      </c>
    </row>
    <row r="85" spans="1:6" ht="25.5" x14ac:dyDescent="0.25">
      <c r="A85" s="22">
        <v>25010000</v>
      </c>
      <c r="B85" s="30" t="s">
        <v>122</v>
      </c>
      <c r="C85" s="24">
        <f t="shared" si="7"/>
        <v>7500551</v>
      </c>
      <c r="D85" s="24">
        <f>SUM(D86)</f>
        <v>0</v>
      </c>
      <c r="E85" s="24">
        <f>SUM(E86)</f>
        <v>7500551</v>
      </c>
      <c r="F85" s="24">
        <v>0</v>
      </c>
    </row>
    <row r="86" spans="1:6" ht="25.5" x14ac:dyDescent="0.25">
      <c r="A86" s="9">
        <v>25010100</v>
      </c>
      <c r="B86" s="9" t="s">
        <v>123</v>
      </c>
      <c r="C86" s="24">
        <f t="shared" si="7"/>
        <v>7500551</v>
      </c>
      <c r="D86" s="31">
        <v>0</v>
      </c>
      <c r="E86" s="31">
        <v>7500551</v>
      </c>
      <c r="F86" s="31"/>
    </row>
    <row r="87" spans="1:6" x14ac:dyDescent="0.25">
      <c r="A87" s="60">
        <v>30000000</v>
      </c>
      <c r="B87" s="54" t="s">
        <v>253</v>
      </c>
      <c r="C87" s="24">
        <f t="shared" si="7"/>
        <v>0</v>
      </c>
      <c r="D87" s="24">
        <f>SUM(D88)</f>
        <v>0</v>
      </c>
      <c r="E87" s="24">
        <f t="shared" ref="E87:F87" si="10">SUM(E88)</f>
        <v>0</v>
      </c>
      <c r="F87" s="24">
        <f t="shared" si="10"/>
        <v>0</v>
      </c>
    </row>
    <row r="88" spans="1:6" x14ac:dyDescent="0.25">
      <c r="A88" s="60">
        <v>31000000</v>
      </c>
      <c r="B88" s="54" t="s">
        <v>254</v>
      </c>
      <c r="C88" s="24">
        <f t="shared" si="7"/>
        <v>0</v>
      </c>
      <c r="D88" s="24">
        <f>SUM(D89)</f>
        <v>0</v>
      </c>
      <c r="E88" s="24">
        <f t="shared" ref="E88:F88" si="11">SUM(E89)</f>
        <v>0</v>
      </c>
      <c r="F88" s="24">
        <f t="shared" si="11"/>
        <v>0</v>
      </c>
    </row>
    <row r="89" spans="1:6" ht="63.75" x14ac:dyDescent="0.25">
      <c r="A89" s="60">
        <v>31010000</v>
      </c>
      <c r="B89" s="54" t="s">
        <v>255</v>
      </c>
      <c r="C89" s="24">
        <f t="shared" si="7"/>
        <v>0</v>
      </c>
      <c r="D89" s="24">
        <f>SUM(D90)</f>
        <v>0</v>
      </c>
      <c r="E89" s="24">
        <f t="shared" ref="E89:F89" si="12">SUM(E90)</f>
        <v>0</v>
      </c>
      <c r="F89" s="24">
        <f t="shared" si="12"/>
        <v>0</v>
      </c>
    </row>
    <row r="90" spans="1:6" ht="63.75" x14ac:dyDescent="0.25">
      <c r="A90" s="53">
        <v>31010200</v>
      </c>
      <c r="B90" s="56" t="s">
        <v>256</v>
      </c>
      <c r="C90" s="24">
        <f t="shared" si="7"/>
        <v>0</v>
      </c>
      <c r="D90" s="31"/>
      <c r="E90" s="31"/>
      <c r="F90" s="31"/>
    </row>
    <row r="91" spans="1:6" x14ac:dyDescent="0.25">
      <c r="A91" s="141">
        <v>40000000</v>
      </c>
      <c r="B91" s="30" t="s">
        <v>125</v>
      </c>
      <c r="C91" s="24">
        <f>SUM(D91:E91)</f>
        <v>61006744</v>
      </c>
      <c r="D91" s="24">
        <f>SUM(D92)</f>
        <v>0</v>
      </c>
      <c r="E91" s="24">
        <f t="shared" ref="E91:F91" si="13">SUM(E92)</f>
        <v>61006744</v>
      </c>
      <c r="F91" s="24">
        <f t="shared" si="13"/>
        <v>61006744</v>
      </c>
    </row>
    <row r="92" spans="1:6" ht="24" x14ac:dyDescent="0.25">
      <c r="A92" s="142">
        <v>42000000</v>
      </c>
      <c r="B92" s="143" t="s">
        <v>361</v>
      </c>
      <c r="C92" s="24">
        <f t="shared" si="7"/>
        <v>61006744</v>
      </c>
      <c r="D92" s="24">
        <f>SUM(D93)</f>
        <v>0</v>
      </c>
      <c r="E92" s="24">
        <f t="shared" ref="E92:F92" si="14">SUM(E93)</f>
        <v>61006744</v>
      </c>
      <c r="F92" s="24">
        <f t="shared" si="14"/>
        <v>61006744</v>
      </c>
    </row>
    <row r="93" spans="1:6" x14ac:dyDescent="0.25">
      <c r="A93" s="144">
        <v>42020500</v>
      </c>
      <c r="B93" s="145" t="s">
        <v>362</v>
      </c>
      <c r="C93" s="24">
        <f t="shared" si="7"/>
        <v>61006744</v>
      </c>
      <c r="D93" s="31"/>
      <c r="E93" s="31">
        <f>33214744+27792000</f>
        <v>61006744</v>
      </c>
      <c r="F93" s="31">
        <v>61006744</v>
      </c>
    </row>
    <row r="94" spans="1:6" ht="25.5" x14ac:dyDescent="0.25">
      <c r="A94" s="22"/>
      <c r="B94" s="30" t="s">
        <v>124</v>
      </c>
      <c r="C94" s="24">
        <f t="shared" si="7"/>
        <v>704582595</v>
      </c>
      <c r="D94" s="24">
        <f>SUM(D10+D59+D87)+D91</f>
        <v>635550000</v>
      </c>
      <c r="E94" s="24">
        <f t="shared" ref="E94:F94" si="15">SUM(E10+E59+E87)+E91</f>
        <v>69032595</v>
      </c>
      <c r="F94" s="24">
        <f t="shared" si="15"/>
        <v>61006744</v>
      </c>
    </row>
    <row r="95" spans="1:6" x14ac:dyDescent="0.25">
      <c r="A95" s="22">
        <v>40000000</v>
      </c>
      <c r="B95" s="30" t="s">
        <v>125</v>
      </c>
      <c r="C95" s="24">
        <f t="shared" si="7"/>
        <v>66721</v>
      </c>
      <c r="D95" s="24">
        <f>SUM(D96)</f>
        <v>66721</v>
      </c>
      <c r="E95" s="24">
        <v>0</v>
      </c>
      <c r="F95" s="24">
        <v>0</v>
      </c>
    </row>
    <row r="96" spans="1:6" x14ac:dyDescent="0.25">
      <c r="A96" s="62">
        <v>41000000</v>
      </c>
      <c r="B96" s="23" t="s">
        <v>126</v>
      </c>
      <c r="C96" s="24">
        <f t="shared" si="7"/>
        <v>66721</v>
      </c>
      <c r="D96" s="25">
        <f>SUM(D97+D99)</f>
        <v>66721</v>
      </c>
      <c r="E96" s="25">
        <v>0</v>
      </c>
      <c r="F96" s="25">
        <v>0</v>
      </c>
    </row>
    <row r="97" spans="1:11" ht="25.5" x14ac:dyDescent="0.25">
      <c r="A97" s="62">
        <v>41030000</v>
      </c>
      <c r="B97" s="23" t="s">
        <v>127</v>
      </c>
      <c r="C97" s="24">
        <f t="shared" si="7"/>
        <v>0</v>
      </c>
      <c r="D97" s="25">
        <f>SUM(D98)</f>
        <v>0</v>
      </c>
      <c r="E97" s="25"/>
      <c r="F97" s="25"/>
    </row>
    <row r="98" spans="1:11" ht="25.5" x14ac:dyDescent="0.25">
      <c r="A98" s="26">
        <v>41033900</v>
      </c>
      <c r="B98" s="27" t="s">
        <v>128</v>
      </c>
      <c r="C98" s="24">
        <f t="shared" si="7"/>
        <v>0</v>
      </c>
      <c r="D98" s="28"/>
      <c r="E98" s="25"/>
      <c r="F98" s="25"/>
    </row>
    <row r="99" spans="1:11" ht="25.5" x14ac:dyDescent="0.25">
      <c r="A99" s="62">
        <v>41050000</v>
      </c>
      <c r="B99" s="23" t="s">
        <v>129</v>
      </c>
      <c r="C99" s="24">
        <f t="shared" si="7"/>
        <v>66721</v>
      </c>
      <c r="D99" s="25">
        <f>SUM(D100+D101)</f>
        <v>66721</v>
      </c>
      <c r="E99" s="25">
        <v>0</v>
      </c>
      <c r="F99" s="25">
        <v>0</v>
      </c>
    </row>
    <row r="100" spans="1:11" ht="63.75" x14ac:dyDescent="0.25">
      <c r="A100" s="26">
        <v>41051000</v>
      </c>
      <c r="B100" s="27" t="s">
        <v>130</v>
      </c>
      <c r="C100" s="24">
        <f t="shared" si="7"/>
        <v>0</v>
      </c>
      <c r="D100" s="28"/>
      <c r="E100" s="28"/>
      <c r="F100" s="28"/>
    </row>
    <row r="101" spans="1:11" x14ac:dyDescent="0.25">
      <c r="A101" s="26">
        <v>41053900</v>
      </c>
      <c r="B101" s="27" t="s">
        <v>131</v>
      </c>
      <c r="C101" s="24">
        <f t="shared" si="7"/>
        <v>66721</v>
      </c>
      <c r="D101" s="28">
        <f>SUM(D102)</f>
        <v>66721</v>
      </c>
      <c r="E101" s="28">
        <v>0</v>
      </c>
      <c r="F101" s="28">
        <v>0</v>
      </c>
    </row>
    <row r="102" spans="1:11" x14ac:dyDescent="0.25">
      <c r="A102" s="26"/>
      <c r="B102" s="27" t="s">
        <v>132</v>
      </c>
      <c r="C102" s="24">
        <f t="shared" si="7"/>
        <v>66721</v>
      </c>
      <c r="D102" s="28">
        <f>SUM(D103:D105)</f>
        <v>66721</v>
      </c>
      <c r="E102" s="28">
        <v>0</v>
      </c>
      <c r="F102" s="28">
        <v>0</v>
      </c>
    </row>
    <row r="103" spans="1:11" ht="38.25" x14ac:dyDescent="0.25">
      <c r="A103" s="26"/>
      <c r="B103" s="27" t="s">
        <v>133</v>
      </c>
      <c r="C103" s="24">
        <f t="shared" si="7"/>
        <v>13000</v>
      </c>
      <c r="D103" s="28">
        <v>13000</v>
      </c>
      <c r="E103" s="28"/>
      <c r="F103" s="28"/>
    </row>
    <row r="104" spans="1:11" ht="25.5" x14ac:dyDescent="0.25">
      <c r="A104" s="26"/>
      <c r="B104" s="27" t="s">
        <v>134</v>
      </c>
      <c r="C104" s="24">
        <f t="shared" si="7"/>
        <v>5721</v>
      </c>
      <c r="D104" s="28">
        <v>5721</v>
      </c>
      <c r="E104" s="28"/>
      <c r="F104" s="28"/>
    </row>
    <row r="105" spans="1:11" x14ac:dyDescent="0.25">
      <c r="A105" s="26"/>
      <c r="B105" s="27" t="s">
        <v>135</v>
      </c>
      <c r="C105" s="24">
        <f t="shared" si="7"/>
        <v>48000</v>
      </c>
      <c r="D105" s="28">
        <v>48000</v>
      </c>
      <c r="E105" s="28"/>
      <c r="F105" s="28"/>
    </row>
    <row r="106" spans="1:11" x14ac:dyDescent="0.25">
      <c r="A106" s="32"/>
      <c r="B106" s="30" t="s">
        <v>136</v>
      </c>
      <c r="C106" s="24">
        <f t="shared" si="7"/>
        <v>704649316</v>
      </c>
      <c r="D106" s="24">
        <f>SUM(D94+D95)</f>
        <v>635616721</v>
      </c>
      <c r="E106" s="24">
        <f>SUM(E94+E95)</f>
        <v>69032595</v>
      </c>
      <c r="F106" s="24">
        <f>SUM(F94+F95)</f>
        <v>61006744</v>
      </c>
    </row>
    <row r="108" spans="1:11" x14ac:dyDescent="0.25">
      <c r="D108" s="63"/>
    </row>
    <row r="109" spans="1:11" ht="18.75" x14ac:dyDescent="0.3">
      <c r="B109" s="47" t="s">
        <v>236</v>
      </c>
      <c r="D109" s="47"/>
      <c r="E109" s="47" t="s">
        <v>237</v>
      </c>
      <c r="K109" s="47"/>
    </row>
    <row r="113" spans="2:5" x14ac:dyDescent="0.25">
      <c r="E113" s="63"/>
    </row>
    <row r="115" spans="2:5" x14ac:dyDescent="0.25">
      <c r="B115" s="63"/>
    </row>
  </sheetData>
  <mergeCells count="7">
    <mergeCell ref="A3:F3"/>
    <mergeCell ref="A4:F4"/>
    <mergeCell ref="A7:A8"/>
    <mergeCell ref="B7:B8"/>
    <mergeCell ref="C7:C8"/>
    <mergeCell ref="D7:D8"/>
    <mergeCell ref="E7:F7"/>
  </mergeCells>
  <pageMargins left="0.70866141732283472" right="0.31496062992125984" top="0.55118110236220474" bottom="0.55118110236220474" header="0.11811023622047245" footer="0.11811023622047245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/>
  </sheetViews>
  <sheetFormatPr defaultRowHeight="15" x14ac:dyDescent="0.25"/>
  <cols>
    <col min="1" max="1" width="10.85546875" customWidth="1"/>
    <col min="2" max="2" width="57.28515625" customWidth="1"/>
    <col min="3" max="3" width="17.42578125" customWidth="1"/>
    <col min="4" max="4" width="18.85546875" customWidth="1"/>
    <col min="5" max="5" width="17" customWidth="1"/>
    <col min="6" max="6" width="17.5703125" customWidth="1"/>
    <col min="9" max="9" width="20.85546875" customWidth="1"/>
  </cols>
  <sheetData>
    <row r="1" spans="1:6" ht="18.75" x14ac:dyDescent="0.25">
      <c r="A1" s="64"/>
      <c r="B1" s="64"/>
      <c r="C1" s="16"/>
      <c r="D1" s="16" t="s">
        <v>141</v>
      </c>
      <c r="E1" s="16"/>
      <c r="F1" s="16"/>
    </row>
    <row r="2" spans="1:6" ht="18.75" x14ac:dyDescent="0.25">
      <c r="A2" s="64"/>
      <c r="B2" s="64"/>
      <c r="C2" s="16"/>
      <c r="D2" s="16" t="s">
        <v>464</v>
      </c>
      <c r="E2" s="16"/>
      <c r="F2" s="16"/>
    </row>
    <row r="3" spans="1:6" x14ac:dyDescent="0.25">
      <c r="A3" s="64"/>
      <c r="B3" s="64"/>
      <c r="C3" s="65"/>
      <c r="D3" s="65"/>
      <c r="E3" s="65"/>
      <c r="F3" s="65"/>
    </row>
    <row r="4" spans="1:6" ht="15.75" customHeight="1" x14ac:dyDescent="0.25">
      <c r="A4" s="186" t="s">
        <v>337</v>
      </c>
      <c r="B4" s="186"/>
      <c r="C4" s="186"/>
      <c r="D4" s="186"/>
      <c r="E4" s="186"/>
      <c r="F4" s="186"/>
    </row>
    <row r="5" spans="1:6" x14ac:dyDescent="0.25">
      <c r="A5" s="188" t="s">
        <v>331</v>
      </c>
      <c r="B5" s="188"/>
      <c r="C5" s="188"/>
      <c r="D5" s="188"/>
      <c r="E5" s="188"/>
      <c r="F5" s="188"/>
    </row>
    <row r="6" spans="1:6" x14ac:dyDescent="0.25">
      <c r="A6" s="66"/>
      <c r="B6" s="66"/>
      <c r="C6" s="64"/>
      <c r="D6" s="66"/>
      <c r="E6" s="66"/>
      <c r="F6" s="67" t="s">
        <v>269</v>
      </c>
    </row>
    <row r="7" spans="1:6" ht="15.75" customHeight="1" x14ac:dyDescent="0.25">
      <c r="A7" s="189" t="s">
        <v>53</v>
      </c>
      <c r="B7" s="189" t="s">
        <v>142</v>
      </c>
      <c r="C7" s="189" t="s">
        <v>55</v>
      </c>
      <c r="D7" s="189" t="s">
        <v>9</v>
      </c>
      <c r="E7" s="190" t="s">
        <v>10</v>
      </c>
      <c r="F7" s="191"/>
    </row>
    <row r="8" spans="1:6" ht="24" x14ac:dyDescent="0.25">
      <c r="A8" s="189"/>
      <c r="B8" s="189"/>
      <c r="C8" s="189"/>
      <c r="D8" s="189"/>
      <c r="E8" s="68" t="s">
        <v>55</v>
      </c>
      <c r="F8" s="68" t="s">
        <v>12</v>
      </c>
    </row>
    <row r="9" spans="1:6" x14ac:dyDescent="0.25">
      <c r="A9" s="69">
        <v>1</v>
      </c>
      <c r="B9" s="69">
        <v>2</v>
      </c>
      <c r="C9" s="69">
        <v>3</v>
      </c>
      <c r="D9" s="69">
        <v>4</v>
      </c>
      <c r="E9" s="69">
        <v>5</v>
      </c>
      <c r="F9" s="69">
        <v>6</v>
      </c>
    </row>
    <row r="10" spans="1:6" x14ac:dyDescent="0.25">
      <c r="A10" s="70" t="s">
        <v>270</v>
      </c>
      <c r="B10" s="70"/>
      <c r="C10" s="70"/>
      <c r="D10" s="70"/>
      <c r="E10" s="70"/>
      <c r="F10" s="70"/>
    </row>
    <row r="11" spans="1:6" x14ac:dyDescent="0.25">
      <c r="A11" s="89">
        <v>200000</v>
      </c>
      <c r="B11" s="72" t="s">
        <v>143</v>
      </c>
      <c r="C11" s="73">
        <f t="shared" ref="C11:C17" si="0">SUM(D11:E11)</f>
        <v>42633000</v>
      </c>
      <c r="D11" s="73">
        <f>SUM(D16)+D12</f>
        <v>-23300000</v>
      </c>
      <c r="E11" s="73">
        <f>SUM(E16)+E12</f>
        <v>65933000</v>
      </c>
      <c r="F11" s="73">
        <f>SUM(F16)+F12</f>
        <v>65933000</v>
      </c>
    </row>
    <row r="12" spans="1:6" ht="20.25" customHeight="1" x14ac:dyDescent="0.25">
      <c r="A12" s="74">
        <v>202000</v>
      </c>
      <c r="B12" s="75" t="s">
        <v>271</v>
      </c>
      <c r="C12" s="76">
        <f t="shared" si="0"/>
        <v>42633000</v>
      </c>
      <c r="D12" s="76">
        <f>SUM(D13)</f>
        <v>0</v>
      </c>
      <c r="E12" s="76">
        <f>SUM(E13)</f>
        <v>42633000</v>
      </c>
      <c r="F12" s="76">
        <f>SUM(F13)</f>
        <v>42633000</v>
      </c>
    </row>
    <row r="13" spans="1:6" x14ac:dyDescent="0.25">
      <c r="A13" s="74">
        <v>202200</v>
      </c>
      <c r="B13" s="75" t="s">
        <v>272</v>
      </c>
      <c r="C13" s="76">
        <f t="shared" si="0"/>
        <v>42633000</v>
      </c>
      <c r="D13" s="76">
        <f>SUM(D14:D15)</f>
        <v>0</v>
      </c>
      <c r="E13" s="76">
        <f>SUM(E14:E15)</f>
        <v>42633000</v>
      </c>
      <c r="F13" s="76">
        <f>SUM(F14:F15)</f>
        <v>42633000</v>
      </c>
    </row>
    <row r="14" spans="1:6" x14ac:dyDescent="0.25">
      <c r="A14" s="77">
        <v>202210</v>
      </c>
      <c r="B14" s="78" t="s">
        <v>273</v>
      </c>
      <c r="C14" s="76">
        <f t="shared" si="0"/>
        <v>42654325</v>
      </c>
      <c r="D14" s="79">
        <v>0</v>
      </c>
      <c r="E14" s="79">
        <v>42654325</v>
      </c>
      <c r="F14" s="79">
        <v>42654325</v>
      </c>
    </row>
    <row r="15" spans="1:6" x14ac:dyDescent="0.25">
      <c r="A15" s="77">
        <v>202220</v>
      </c>
      <c r="B15" s="78" t="s">
        <v>274</v>
      </c>
      <c r="C15" s="76">
        <f t="shared" si="0"/>
        <v>-21325</v>
      </c>
      <c r="D15" s="79">
        <v>0</v>
      </c>
      <c r="E15" s="79">
        <v>-21325</v>
      </c>
      <c r="F15" s="79">
        <v>-21325</v>
      </c>
    </row>
    <row r="16" spans="1:6" ht="31.5" customHeight="1" x14ac:dyDescent="0.25">
      <c r="A16" s="89">
        <v>208000</v>
      </c>
      <c r="B16" s="72" t="s">
        <v>275</v>
      </c>
      <c r="C16" s="73">
        <f t="shared" si="0"/>
        <v>0</v>
      </c>
      <c r="D16" s="73">
        <f>SUM(D17:D17)</f>
        <v>-23300000</v>
      </c>
      <c r="E16" s="73">
        <f>SUM(E17:E17)</f>
        <v>23300000</v>
      </c>
      <c r="F16" s="73">
        <f>SUM(F17:F17)</f>
        <v>23300000</v>
      </c>
    </row>
    <row r="17" spans="1:11" ht="30" x14ac:dyDescent="0.25">
      <c r="A17" s="90">
        <v>208400</v>
      </c>
      <c r="B17" s="81" t="s">
        <v>276</v>
      </c>
      <c r="C17" s="73">
        <f t="shared" si="0"/>
        <v>0</v>
      </c>
      <c r="D17" s="82">
        <v>-23300000</v>
      </c>
      <c r="E17" s="82">
        <v>23300000</v>
      </c>
      <c r="F17" s="82">
        <v>23300000</v>
      </c>
    </row>
    <row r="18" spans="1:11" ht="18.75" x14ac:dyDescent="0.3">
      <c r="A18" s="83" t="s">
        <v>239</v>
      </c>
      <c r="B18" s="84" t="s">
        <v>144</v>
      </c>
      <c r="C18" s="73">
        <f>SUM(C11)</f>
        <v>42633000</v>
      </c>
      <c r="D18" s="73">
        <f>SUM(D11)</f>
        <v>-23300000</v>
      </c>
      <c r="E18" s="73">
        <f>SUM(E11)</f>
        <v>65933000</v>
      </c>
      <c r="F18" s="73">
        <f>SUM(F11)</f>
        <v>65933000</v>
      </c>
      <c r="K18" s="47"/>
    </row>
    <row r="19" spans="1:11" x14ac:dyDescent="0.25">
      <c r="A19" s="70" t="s">
        <v>277</v>
      </c>
      <c r="B19" s="70"/>
      <c r="C19" s="70"/>
      <c r="D19" s="70"/>
      <c r="E19" s="70"/>
      <c r="F19" s="70"/>
    </row>
    <row r="20" spans="1:11" x14ac:dyDescent="0.25">
      <c r="A20" s="85">
        <v>400000</v>
      </c>
      <c r="B20" s="75" t="s">
        <v>278</v>
      </c>
      <c r="C20" s="76">
        <f>SUM(D20:E20)</f>
        <v>42633000</v>
      </c>
      <c r="D20" s="76">
        <f>SUM(D21+D24)</f>
        <v>0</v>
      </c>
      <c r="E20" s="76">
        <f>SUM(E21+E24)</f>
        <v>42633000</v>
      </c>
      <c r="F20" s="76">
        <f>SUM(F21+F24)</f>
        <v>42613000</v>
      </c>
    </row>
    <row r="21" spans="1:11" x14ac:dyDescent="0.25">
      <c r="A21" s="85">
        <v>401000</v>
      </c>
      <c r="B21" s="86" t="s">
        <v>279</v>
      </c>
      <c r="C21" s="76">
        <f t="shared" ref="C21:C26" si="1">SUM(D21:E21)</f>
        <v>42654325</v>
      </c>
      <c r="D21" s="76">
        <v>0</v>
      </c>
      <c r="E21" s="76">
        <f>SUM(E22)</f>
        <v>42654325</v>
      </c>
      <c r="F21" s="76">
        <f>SUM(F22)</f>
        <v>42633000</v>
      </c>
    </row>
    <row r="22" spans="1:11" x14ac:dyDescent="0.25">
      <c r="A22" s="87">
        <v>401100</v>
      </c>
      <c r="B22" s="88" t="s">
        <v>280</v>
      </c>
      <c r="C22" s="76">
        <f t="shared" si="1"/>
        <v>42654325</v>
      </c>
      <c r="D22" s="79">
        <v>0</v>
      </c>
      <c r="E22" s="79">
        <f>SUM(E23)</f>
        <v>42654325</v>
      </c>
      <c r="F22" s="79">
        <f>SUM(F23)</f>
        <v>42633000</v>
      </c>
    </row>
    <row r="23" spans="1:11" x14ac:dyDescent="0.25">
      <c r="A23" s="87">
        <v>401101</v>
      </c>
      <c r="B23" s="88" t="s">
        <v>281</v>
      </c>
      <c r="C23" s="76">
        <f t="shared" si="1"/>
        <v>42654325</v>
      </c>
      <c r="D23" s="79">
        <v>0</v>
      </c>
      <c r="E23" s="79">
        <v>42654325</v>
      </c>
      <c r="F23" s="79">
        <v>42633000</v>
      </c>
    </row>
    <row r="24" spans="1:11" x14ac:dyDescent="0.25">
      <c r="A24" s="85">
        <v>402000</v>
      </c>
      <c r="B24" s="86" t="s">
        <v>282</v>
      </c>
      <c r="C24" s="76">
        <f t="shared" si="1"/>
        <v>-21325</v>
      </c>
      <c r="D24" s="76">
        <f>SUM(D25:D26)</f>
        <v>0</v>
      </c>
      <c r="E24" s="76">
        <f>SUM(E25)</f>
        <v>-21325</v>
      </c>
      <c r="F24" s="76">
        <f>SUM(F25)</f>
        <v>-20000</v>
      </c>
    </row>
    <row r="25" spans="1:11" x14ac:dyDescent="0.25">
      <c r="A25" s="87">
        <v>402100</v>
      </c>
      <c r="B25" s="88" t="s">
        <v>283</v>
      </c>
      <c r="C25" s="76">
        <f t="shared" si="1"/>
        <v>-21325</v>
      </c>
      <c r="D25" s="79"/>
      <c r="E25" s="79">
        <v>-21325</v>
      </c>
      <c r="F25" s="79">
        <f>SUM(F26)</f>
        <v>-20000</v>
      </c>
    </row>
    <row r="26" spans="1:11" x14ac:dyDescent="0.25">
      <c r="A26" s="87">
        <v>402101</v>
      </c>
      <c r="B26" s="88" t="s">
        <v>281</v>
      </c>
      <c r="C26" s="76">
        <f t="shared" si="1"/>
        <v>-21325</v>
      </c>
      <c r="D26" s="79"/>
      <c r="E26" s="79">
        <v>-21325</v>
      </c>
      <c r="F26" s="79">
        <f>-20000</f>
        <v>-20000</v>
      </c>
    </row>
    <row r="27" spans="1:11" x14ac:dyDescent="0.25">
      <c r="A27" s="71">
        <v>600000</v>
      </c>
      <c r="B27" s="72" t="s">
        <v>145</v>
      </c>
      <c r="C27" s="73">
        <f>SUM(D27:E27)</f>
        <v>0</v>
      </c>
      <c r="D27" s="73">
        <f>SUM(D28)</f>
        <v>-23300000</v>
      </c>
      <c r="E27" s="73">
        <f>SUM(E28)</f>
        <v>23300000</v>
      </c>
      <c r="F27" s="73">
        <f>SUM(F28)</f>
        <v>23300000</v>
      </c>
    </row>
    <row r="28" spans="1:11" x14ac:dyDescent="0.25">
      <c r="A28" s="80">
        <v>602000</v>
      </c>
      <c r="B28" s="81" t="s">
        <v>284</v>
      </c>
      <c r="C28" s="73">
        <f>SUM(D28:E28)</f>
        <v>0</v>
      </c>
      <c r="D28" s="82">
        <f>SUM(D29:D29)</f>
        <v>-23300000</v>
      </c>
      <c r="E28" s="82">
        <f>SUM(E29:E29)</f>
        <v>23300000</v>
      </c>
      <c r="F28" s="82">
        <f>SUM(F29:F29)</f>
        <v>23300000</v>
      </c>
    </row>
    <row r="29" spans="1:11" ht="30" x14ac:dyDescent="0.25">
      <c r="A29" s="90">
        <v>602400</v>
      </c>
      <c r="B29" s="81" t="s">
        <v>276</v>
      </c>
      <c r="C29" s="73">
        <f>SUM(D29:E29)</f>
        <v>0</v>
      </c>
      <c r="D29" s="82">
        <v>-23300000</v>
      </c>
      <c r="E29" s="82">
        <v>23300000</v>
      </c>
      <c r="F29" s="82">
        <f>E29</f>
        <v>23300000</v>
      </c>
    </row>
    <row r="30" spans="1:11" x14ac:dyDescent="0.25">
      <c r="A30" s="83" t="s">
        <v>239</v>
      </c>
      <c r="B30" s="84" t="s">
        <v>144</v>
      </c>
      <c r="C30" s="73">
        <f>SUM(C20+C27)</f>
        <v>42633000</v>
      </c>
      <c r="D30" s="73">
        <f>SUM(D20+D27)</f>
        <v>-23300000</v>
      </c>
      <c r="E30" s="73">
        <f>SUM(E20+E27)</f>
        <v>65933000</v>
      </c>
      <c r="F30" s="73">
        <f>SUM(F20+F27)</f>
        <v>65913000</v>
      </c>
    </row>
    <row r="32" spans="1:11" ht="18.75" x14ac:dyDescent="0.3">
      <c r="B32" s="47" t="s">
        <v>236</v>
      </c>
      <c r="E32" s="47" t="s">
        <v>237</v>
      </c>
      <c r="K32" s="47"/>
    </row>
    <row r="36" spans="5:5" x14ac:dyDescent="0.25">
      <c r="E36" s="63"/>
    </row>
  </sheetData>
  <mergeCells count="7">
    <mergeCell ref="A4:F4"/>
    <mergeCell ref="A5:F5"/>
    <mergeCell ref="A7:A8"/>
    <mergeCell ref="B7:B8"/>
    <mergeCell ref="C7:C8"/>
    <mergeCell ref="D7:D8"/>
    <mergeCell ref="E7:F7"/>
  </mergeCells>
  <pageMargins left="0.70866141732283472" right="0.31496062992125984" top="0.55118110236220474" bottom="0.35433070866141736" header="0.11811023622047245" footer="0.11811023622047245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5"/>
  <sheetViews>
    <sheetView tabSelected="1" topLeftCell="A70" workbookViewId="0">
      <selection activeCell="P92" sqref="P92"/>
    </sheetView>
  </sheetViews>
  <sheetFormatPr defaultRowHeight="15" x14ac:dyDescent="0.25"/>
  <cols>
    <col min="1" max="1" width="9.28515625" bestFit="1" customWidth="1"/>
    <col min="2" max="3" width="8.42578125" customWidth="1"/>
    <col min="4" max="4" width="31.28515625" customWidth="1"/>
    <col min="5" max="6" width="12.7109375" customWidth="1"/>
    <col min="7" max="7" width="13.42578125" customWidth="1"/>
    <col min="8" max="8" width="10.5703125" customWidth="1"/>
    <col min="9" max="9" width="12.42578125" customWidth="1"/>
    <col min="10" max="10" width="12" customWidth="1"/>
    <col min="11" max="11" width="11.85546875" customWidth="1"/>
    <col min="12" max="13" width="10" bestFit="1" customWidth="1"/>
    <col min="14" max="14" width="9.28515625" bestFit="1" customWidth="1"/>
    <col min="15" max="15" width="10.85546875" customWidth="1"/>
    <col min="16" max="16" width="13.28515625" customWidth="1"/>
    <col min="19" max="19" width="12.42578125" bestFit="1" customWidth="1"/>
  </cols>
  <sheetData>
    <row r="1" spans="1:16" ht="18.75" x14ac:dyDescent="0.25">
      <c r="A1" s="34"/>
      <c r="B1" s="34"/>
      <c r="C1" s="34"/>
      <c r="D1" s="16"/>
      <c r="E1" s="34"/>
      <c r="F1" s="34"/>
      <c r="G1" s="46"/>
      <c r="H1" s="46"/>
      <c r="I1" s="46"/>
      <c r="J1" s="46"/>
      <c r="K1" s="16" t="s">
        <v>140</v>
      </c>
      <c r="L1" s="46"/>
      <c r="M1" s="46"/>
      <c r="N1" s="46"/>
      <c r="O1" s="46"/>
      <c r="P1" s="46"/>
    </row>
    <row r="2" spans="1:16" ht="18.75" x14ac:dyDescent="0.25">
      <c r="A2" s="34"/>
      <c r="B2" s="34"/>
      <c r="C2" s="34"/>
      <c r="D2" s="17"/>
      <c r="E2" s="34"/>
      <c r="F2" s="34"/>
      <c r="G2" s="46"/>
      <c r="H2" s="46"/>
      <c r="I2" s="46"/>
      <c r="J2" s="46"/>
      <c r="K2" s="17" t="s">
        <v>463</v>
      </c>
      <c r="L2" s="46"/>
      <c r="M2" s="46"/>
      <c r="N2" s="46"/>
      <c r="O2" s="46"/>
      <c r="P2" s="46"/>
    </row>
    <row r="3" spans="1:16" ht="18.75" x14ac:dyDescent="0.25">
      <c r="A3" s="186" t="s">
        <v>235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</row>
    <row r="4" spans="1:16" ht="18.75" x14ac:dyDescent="0.25">
      <c r="A4" s="186" t="s">
        <v>336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</row>
    <row r="5" spans="1:16" ht="15.75" x14ac:dyDescent="0.25">
      <c r="A5" s="45" t="s">
        <v>331</v>
      </c>
      <c r="B5" s="46"/>
      <c r="C5" s="46"/>
      <c r="D5" s="46"/>
      <c r="E5" s="46"/>
      <c r="F5" s="46"/>
      <c r="G5" s="46"/>
      <c r="H5" s="46"/>
      <c r="I5" s="46"/>
      <c r="J5" s="45"/>
      <c r="K5" s="46"/>
      <c r="L5" s="46"/>
      <c r="M5" s="46"/>
      <c r="N5" s="46"/>
      <c r="O5" s="46"/>
      <c r="P5" s="46"/>
    </row>
    <row r="6" spans="1:16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138</v>
      </c>
      <c r="P6" s="46"/>
    </row>
    <row r="7" spans="1:16" x14ac:dyDescent="0.25">
      <c r="A7" s="193" t="s">
        <v>146</v>
      </c>
      <c r="B7" s="193" t="s">
        <v>3</v>
      </c>
      <c r="C7" s="193" t="s">
        <v>147</v>
      </c>
      <c r="D7" s="192" t="s">
        <v>148</v>
      </c>
      <c r="E7" s="192" t="s">
        <v>9</v>
      </c>
      <c r="F7" s="192"/>
      <c r="G7" s="192"/>
      <c r="H7" s="192"/>
      <c r="I7" s="192"/>
      <c r="J7" s="192" t="s">
        <v>10</v>
      </c>
      <c r="K7" s="192"/>
      <c r="L7" s="192"/>
      <c r="M7" s="192"/>
      <c r="N7" s="192"/>
      <c r="O7" s="192"/>
      <c r="P7" s="192" t="s">
        <v>149</v>
      </c>
    </row>
    <row r="8" spans="1:16" x14ac:dyDescent="0.25">
      <c r="A8" s="193"/>
      <c r="B8" s="193"/>
      <c r="C8" s="193"/>
      <c r="D8" s="192"/>
      <c r="E8" s="192" t="s">
        <v>55</v>
      </c>
      <c r="F8" s="192" t="s">
        <v>150</v>
      </c>
      <c r="G8" s="192" t="s">
        <v>151</v>
      </c>
      <c r="H8" s="192"/>
      <c r="I8" s="194" t="s">
        <v>152</v>
      </c>
      <c r="J8" s="192" t="s">
        <v>56</v>
      </c>
      <c r="K8" s="192" t="s">
        <v>12</v>
      </c>
      <c r="L8" s="194" t="s">
        <v>150</v>
      </c>
      <c r="M8" s="192" t="s">
        <v>151</v>
      </c>
      <c r="N8" s="192"/>
      <c r="O8" s="194" t="s">
        <v>152</v>
      </c>
      <c r="P8" s="192"/>
    </row>
    <row r="9" spans="1:16" ht="44.45" customHeight="1" x14ac:dyDescent="0.25">
      <c r="A9" s="193"/>
      <c r="B9" s="193"/>
      <c r="C9" s="193"/>
      <c r="D9" s="192"/>
      <c r="E9" s="192"/>
      <c r="F9" s="192"/>
      <c r="G9" s="123" t="s">
        <v>153</v>
      </c>
      <c r="H9" s="123" t="s">
        <v>154</v>
      </c>
      <c r="I9" s="194"/>
      <c r="J9" s="192"/>
      <c r="K9" s="192"/>
      <c r="L9" s="194"/>
      <c r="M9" s="124" t="s">
        <v>153</v>
      </c>
      <c r="N9" s="125" t="s">
        <v>154</v>
      </c>
      <c r="O9" s="194"/>
      <c r="P9" s="192"/>
    </row>
    <row r="10" spans="1:16" ht="14.45" x14ac:dyDescent="0.3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  <c r="P10" s="36">
        <v>16</v>
      </c>
    </row>
    <row r="11" spans="1:16" x14ac:dyDescent="0.25">
      <c r="A11" s="20" t="s">
        <v>155</v>
      </c>
      <c r="B11" s="37"/>
      <c r="C11" s="37"/>
      <c r="D11" s="8" t="s">
        <v>13</v>
      </c>
      <c r="E11" s="10">
        <f t="shared" ref="E11:O11" si="0">SUM(E12:E32)</f>
        <v>172122937</v>
      </c>
      <c r="F11" s="10">
        <f t="shared" si="0"/>
        <v>141082937</v>
      </c>
      <c r="G11" s="10">
        <f t="shared" si="0"/>
        <v>77693411</v>
      </c>
      <c r="H11" s="10">
        <f t="shared" si="0"/>
        <v>1160800</v>
      </c>
      <c r="I11" s="10">
        <f t="shared" si="0"/>
        <v>31040000</v>
      </c>
      <c r="J11" s="10">
        <f t="shared" si="0"/>
        <v>76409344</v>
      </c>
      <c r="K11" s="10">
        <f t="shared" si="0"/>
        <v>75097244</v>
      </c>
      <c r="L11" s="10">
        <f t="shared" si="0"/>
        <v>1312100</v>
      </c>
      <c r="M11" s="10">
        <f t="shared" si="0"/>
        <v>420000</v>
      </c>
      <c r="N11" s="10">
        <f t="shared" si="0"/>
        <v>0</v>
      </c>
      <c r="O11" s="10">
        <f t="shared" si="0"/>
        <v>14090500</v>
      </c>
      <c r="P11" s="10">
        <f>SUM(E11+J11)</f>
        <v>248532281</v>
      </c>
    </row>
    <row r="12" spans="1:16" ht="56.25" x14ac:dyDescent="0.25">
      <c r="A12" s="38" t="s">
        <v>156</v>
      </c>
      <c r="B12" s="38" t="s">
        <v>157</v>
      </c>
      <c r="C12" s="38" t="s">
        <v>158</v>
      </c>
      <c r="D12" s="12" t="s">
        <v>159</v>
      </c>
      <c r="E12" s="39">
        <f t="shared" ref="E12:E17" si="1">F12+I12</f>
        <v>86196755</v>
      </c>
      <c r="F12" s="39">
        <v>86196755</v>
      </c>
      <c r="G12" s="39">
        <v>68636000</v>
      </c>
      <c r="H12" s="39">
        <v>100000</v>
      </c>
      <c r="I12" s="13"/>
      <c r="J12" s="39"/>
      <c r="K12" s="39"/>
      <c r="L12" s="13"/>
      <c r="M12" s="39"/>
      <c r="N12" s="39"/>
      <c r="O12" s="39"/>
      <c r="P12" s="10">
        <f>SUM(E12+J12)</f>
        <v>86196755</v>
      </c>
    </row>
    <row r="13" spans="1:16" ht="22.5" x14ac:dyDescent="0.25">
      <c r="A13" s="38" t="s">
        <v>160</v>
      </c>
      <c r="B13" s="38" t="s">
        <v>161</v>
      </c>
      <c r="C13" s="38" t="s">
        <v>162</v>
      </c>
      <c r="D13" s="12" t="s">
        <v>163</v>
      </c>
      <c r="E13" s="39">
        <f t="shared" si="1"/>
        <v>1100000</v>
      </c>
      <c r="F13" s="39">
        <v>1100000</v>
      </c>
      <c r="G13" s="39"/>
      <c r="H13" s="39"/>
      <c r="I13" s="13"/>
      <c r="J13" s="39"/>
      <c r="K13" s="39"/>
      <c r="L13" s="13"/>
      <c r="M13" s="39"/>
      <c r="N13" s="39"/>
      <c r="O13" s="39"/>
      <c r="P13" s="10">
        <f t="shared" ref="P13:P90" si="2">SUM(E13+J13)</f>
        <v>1100000</v>
      </c>
    </row>
    <row r="14" spans="1:16" ht="33.75" x14ac:dyDescent="0.25">
      <c r="A14" s="38" t="s">
        <v>164</v>
      </c>
      <c r="B14" s="38">
        <v>1160</v>
      </c>
      <c r="C14" s="38" t="s">
        <v>165</v>
      </c>
      <c r="D14" s="12" t="s">
        <v>166</v>
      </c>
      <c r="E14" s="39">
        <f t="shared" si="1"/>
        <v>4138500</v>
      </c>
      <c r="F14" s="39">
        <v>4138500</v>
      </c>
      <c r="G14" s="39">
        <v>2900000</v>
      </c>
      <c r="H14" s="39">
        <v>132500</v>
      </c>
      <c r="I14" s="13"/>
      <c r="J14" s="39"/>
      <c r="K14" s="39"/>
      <c r="L14" s="13"/>
      <c r="M14" s="39"/>
      <c r="N14" s="39"/>
      <c r="O14" s="39"/>
      <c r="P14" s="10">
        <f t="shared" si="2"/>
        <v>4138500</v>
      </c>
    </row>
    <row r="15" spans="1:16" ht="33.75" x14ac:dyDescent="0.25">
      <c r="A15" s="19" t="s">
        <v>167</v>
      </c>
      <c r="B15" s="19">
        <v>1151</v>
      </c>
      <c r="C15" s="19" t="s">
        <v>165</v>
      </c>
      <c r="D15" s="12" t="s">
        <v>168</v>
      </c>
      <c r="E15" s="39">
        <f t="shared" si="1"/>
        <v>1256331</v>
      </c>
      <c r="F15" s="39">
        <f>1256331-I15</f>
        <v>1056331</v>
      </c>
      <c r="G15" s="39">
        <v>621911</v>
      </c>
      <c r="H15" s="39">
        <v>177000</v>
      </c>
      <c r="I15" s="13">
        <v>200000</v>
      </c>
      <c r="J15" s="39"/>
      <c r="K15" s="39"/>
      <c r="L15" s="13"/>
      <c r="M15" s="39"/>
      <c r="N15" s="39"/>
      <c r="O15" s="39"/>
      <c r="P15" s="10">
        <f t="shared" si="2"/>
        <v>1256331</v>
      </c>
    </row>
    <row r="16" spans="1:16" ht="33.75" x14ac:dyDescent="0.25">
      <c r="A16" s="19" t="s">
        <v>169</v>
      </c>
      <c r="B16" s="19">
        <v>1152</v>
      </c>
      <c r="C16" s="19" t="s">
        <v>165</v>
      </c>
      <c r="D16" s="12" t="s">
        <v>170</v>
      </c>
      <c r="E16" s="39">
        <f t="shared" si="1"/>
        <v>0</v>
      </c>
      <c r="F16" s="39"/>
      <c r="G16" s="39"/>
      <c r="H16" s="39"/>
      <c r="I16" s="13"/>
      <c r="J16" s="39"/>
      <c r="K16" s="39"/>
      <c r="L16" s="13"/>
      <c r="M16" s="39"/>
      <c r="N16" s="39"/>
      <c r="O16" s="39"/>
      <c r="P16" s="10">
        <f t="shared" si="2"/>
        <v>0</v>
      </c>
    </row>
    <row r="17" spans="1:16" ht="22.5" x14ac:dyDescent="0.25">
      <c r="A17" s="19" t="s">
        <v>260</v>
      </c>
      <c r="B17" s="19" t="s">
        <v>259</v>
      </c>
      <c r="C17" s="19" t="s">
        <v>258</v>
      </c>
      <c r="D17" s="12" t="s">
        <v>257</v>
      </c>
      <c r="E17" s="39">
        <f t="shared" si="1"/>
        <v>10245200</v>
      </c>
      <c r="F17" s="39">
        <v>10245200</v>
      </c>
      <c r="G17" s="39"/>
      <c r="H17" s="39"/>
      <c r="I17" s="13"/>
      <c r="J17" s="39"/>
      <c r="K17" s="39"/>
      <c r="L17" s="13"/>
      <c r="M17" s="39"/>
      <c r="N17" s="39"/>
      <c r="O17" s="39"/>
      <c r="P17" s="10">
        <f t="shared" si="2"/>
        <v>10245200</v>
      </c>
    </row>
    <row r="18" spans="1:16" ht="33.75" x14ac:dyDescent="0.25">
      <c r="A18" s="19" t="s">
        <v>171</v>
      </c>
      <c r="B18" s="19">
        <v>2111</v>
      </c>
      <c r="C18" s="19" t="s">
        <v>172</v>
      </c>
      <c r="D18" s="12" t="s">
        <v>173</v>
      </c>
      <c r="E18" s="39">
        <f t="shared" ref="E18:E23" si="3">F18+I18</f>
        <v>2130000</v>
      </c>
      <c r="F18" s="39">
        <v>2130000</v>
      </c>
      <c r="G18" s="39"/>
      <c r="H18" s="39"/>
      <c r="I18" s="13"/>
      <c r="J18" s="39"/>
      <c r="K18" s="39"/>
      <c r="L18" s="13"/>
      <c r="M18" s="39"/>
      <c r="N18" s="39"/>
      <c r="O18" s="39"/>
      <c r="P18" s="10">
        <f t="shared" si="2"/>
        <v>2130000</v>
      </c>
    </row>
    <row r="19" spans="1:16" ht="22.5" x14ac:dyDescent="0.25">
      <c r="A19" s="19" t="s">
        <v>174</v>
      </c>
      <c r="B19" s="19">
        <v>2152</v>
      </c>
      <c r="C19" s="19" t="s">
        <v>175</v>
      </c>
      <c r="D19" s="12" t="s">
        <v>176</v>
      </c>
      <c r="E19" s="39">
        <f t="shared" si="3"/>
        <v>4163500</v>
      </c>
      <c r="F19" s="39">
        <f>4163500-I19</f>
        <v>3563500</v>
      </c>
      <c r="G19" s="39"/>
      <c r="H19" s="39"/>
      <c r="I19" s="13">
        <v>600000</v>
      </c>
      <c r="J19" s="39"/>
      <c r="K19" s="39"/>
      <c r="L19" s="13"/>
      <c r="M19" s="39"/>
      <c r="N19" s="39"/>
      <c r="O19" s="39"/>
      <c r="P19" s="10">
        <f t="shared" si="2"/>
        <v>4163500</v>
      </c>
    </row>
    <row r="20" spans="1:16" ht="33.75" x14ac:dyDescent="0.25">
      <c r="A20" s="19" t="s">
        <v>177</v>
      </c>
      <c r="B20" s="19">
        <v>3033</v>
      </c>
      <c r="C20" s="19">
        <v>1070</v>
      </c>
      <c r="D20" s="12" t="s">
        <v>178</v>
      </c>
      <c r="E20" s="39">
        <f t="shared" si="3"/>
        <v>855000</v>
      </c>
      <c r="F20" s="39">
        <v>855000</v>
      </c>
      <c r="G20" s="39"/>
      <c r="H20" s="39"/>
      <c r="I20" s="13"/>
      <c r="J20" s="39"/>
      <c r="K20" s="39"/>
      <c r="L20" s="13"/>
      <c r="M20" s="39"/>
      <c r="N20" s="39"/>
      <c r="O20" s="39"/>
      <c r="P20" s="10">
        <f t="shared" si="2"/>
        <v>855000</v>
      </c>
    </row>
    <row r="21" spans="1:16" ht="33.75" x14ac:dyDescent="0.25">
      <c r="A21" s="19" t="s">
        <v>179</v>
      </c>
      <c r="B21" s="19">
        <v>3050</v>
      </c>
      <c r="C21" s="19">
        <v>1070</v>
      </c>
      <c r="D21" s="12" t="s">
        <v>180</v>
      </c>
      <c r="E21" s="39">
        <f t="shared" si="3"/>
        <v>5721</v>
      </c>
      <c r="F21" s="39">
        <v>5721</v>
      </c>
      <c r="G21" s="39"/>
      <c r="H21" s="39"/>
      <c r="I21" s="13"/>
      <c r="J21" s="39"/>
      <c r="K21" s="39"/>
      <c r="L21" s="13"/>
      <c r="M21" s="39"/>
      <c r="N21" s="39"/>
      <c r="O21" s="39"/>
      <c r="P21" s="10">
        <f t="shared" si="2"/>
        <v>5721</v>
      </c>
    </row>
    <row r="22" spans="1:16" ht="22.5" x14ac:dyDescent="0.25">
      <c r="A22" s="19" t="s">
        <v>181</v>
      </c>
      <c r="B22" s="19">
        <v>3090</v>
      </c>
      <c r="C22" s="19">
        <v>1030</v>
      </c>
      <c r="D22" s="12" t="s">
        <v>182</v>
      </c>
      <c r="E22" s="39">
        <f t="shared" si="3"/>
        <v>513000</v>
      </c>
      <c r="F22" s="39">
        <v>513000</v>
      </c>
      <c r="G22" s="39"/>
      <c r="H22" s="39"/>
      <c r="I22" s="13"/>
      <c r="J22" s="39"/>
      <c r="K22" s="39"/>
      <c r="L22" s="13"/>
      <c r="M22" s="39"/>
      <c r="N22" s="39"/>
      <c r="O22" s="39"/>
      <c r="P22" s="10">
        <f t="shared" si="2"/>
        <v>513000</v>
      </c>
    </row>
    <row r="23" spans="1:16" ht="45" x14ac:dyDescent="0.25">
      <c r="A23" s="19" t="s">
        <v>183</v>
      </c>
      <c r="B23" s="19">
        <v>3104</v>
      </c>
      <c r="C23" s="19">
        <v>1020</v>
      </c>
      <c r="D23" s="12" t="s">
        <v>184</v>
      </c>
      <c r="E23" s="39">
        <f t="shared" si="3"/>
        <v>8520800</v>
      </c>
      <c r="F23" s="39">
        <f>8520800-I23</f>
        <v>8475800</v>
      </c>
      <c r="G23" s="39">
        <v>5535500</v>
      </c>
      <c r="H23" s="39">
        <v>731300</v>
      </c>
      <c r="I23" s="13">
        <v>45000</v>
      </c>
      <c r="J23" s="39">
        <v>1312100</v>
      </c>
      <c r="K23" s="39"/>
      <c r="L23" s="13">
        <v>1312100</v>
      </c>
      <c r="M23" s="39">
        <v>420000</v>
      </c>
      <c r="N23" s="39"/>
      <c r="O23" s="39"/>
      <c r="P23" s="10">
        <f t="shared" si="2"/>
        <v>9832900</v>
      </c>
    </row>
    <row r="24" spans="1:16" ht="67.5" x14ac:dyDescent="0.25">
      <c r="A24" s="19" t="s">
        <v>185</v>
      </c>
      <c r="B24" s="19">
        <v>3160</v>
      </c>
      <c r="C24" s="19">
        <v>1010</v>
      </c>
      <c r="D24" s="12" t="s">
        <v>186</v>
      </c>
      <c r="E24" s="39">
        <f t="shared" ref="E24:E29" si="4">F24+I24</f>
        <v>3000000</v>
      </c>
      <c r="F24" s="39">
        <v>3000000</v>
      </c>
      <c r="G24" s="39"/>
      <c r="H24" s="39"/>
      <c r="I24" s="13"/>
      <c r="J24" s="39"/>
      <c r="K24" s="39"/>
      <c r="L24" s="13"/>
      <c r="M24" s="39"/>
      <c r="N24" s="39"/>
      <c r="O24" s="39"/>
      <c r="P24" s="10">
        <f t="shared" si="2"/>
        <v>3000000</v>
      </c>
    </row>
    <row r="25" spans="1:16" ht="22.5" x14ac:dyDescent="0.25">
      <c r="A25" s="19" t="s">
        <v>23</v>
      </c>
      <c r="B25" s="19">
        <v>3242</v>
      </c>
      <c r="C25" s="19" t="s">
        <v>187</v>
      </c>
      <c r="D25" s="12" t="s">
        <v>14</v>
      </c>
      <c r="E25" s="39">
        <f t="shared" si="4"/>
        <v>9115000</v>
      </c>
      <c r="F25" s="39">
        <v>9115000</v>
      </c>
      <c r="G25" s="39"/>
      <c r="H25" s="39"/>
      <c r="I25" s="13"/>
      <c r="J25" s="39"/>
      <c r="K25" s="39"/>
      <c r="L25" s="13"/>
      <c r="M25" s="39"/>
      <c r="N25" s="39"/>
      <c r="O25" s="39"/>
      <c r="P25" s="10">
        <f t="shared" si="2"/>
        <v>9115000</v>
      </c>
    </row>
    <row r="26" spans="1:16" ht="22.5" x14ac:dyDescent="0.25">
      <c r="A26" s="19" t="s">
        <v>261</v>
      </c>
      <c r="B26" s="19" t="s">
        <v>264</v>
      </c>
      <c r="C26" s="19" t="s">
        <v>265</v>
      </c>
      <c r="D26" s="12" t="s">
        <v>263</v>
      </c>
      <c r="E26" s="39">
        <f t="shared" si="4"/>
        <v>500000</v>
      </c>
      <c r="F26" s="39">
        <v>500000</v>
      </c>
      <c r="G26" s="39"/>
      <c r="H26" s="39"/>
      <c r="I26" s="13"/>
      <c r="J26" s="39"/>
      <c r="K26" s="39"/>
      <c r="L26" s="13"/>
      <c r="M26" s="39"/>
      <c r="N26" s="39"/>
      <c r="O26" s="39"/>
      <c r="P26" s="10">
        <f t="shared" si="2"/>
        <v>500000</v>
      </c>
    </row>
    <row r="27" spans="1:16" ht="22.5" x14ac:dyDescent="0.25">
      <c r="A27" s="19" t="s">
        <v>24</v>
      </c>
      <c r="B27" s="19">
        <v>7370</v>
      </c>
      <c r="C27" s="19" t="s">
        <v>188</v>
      </c>
      <c r="D27" s="12" t="s">
        <v>15</v>
      </c>
      <c r="E27" s="39">
        <f t="shared" si="4"/>
        <v>33628130</v>
      </c>
      <c r="F27" s="39">
        <f>33628130-I27</f>
        <v>8278130</v>
      </c>
      <c r="G27" s="39"/>
      <c r="H27" s="39"/>
      <c r="I27" s="13">
        <f>10650000+14700000</f>
        <v>25350000</v>
      </c>
      <c r="J27" s="39"/>
      <c r="K27" s="39"/>
      <c r="L27" s="13"/>
      <c r="M27" s="39"/>
      <c r="N27" s="39"/>
      <c r="O27" s="39"/>
      <c r="P27" s="10">
        <f t="shared" si="2"/>
        <v>33628130</v>
      </c>
    </row>
    <row r="28" spans="1:16" x14ac:dyDescent="0.25">
      <c r="A28" s="19" t="s">
        <v>262</v>
      </c>
      <c r="B28" s="19" t="s">
        <v>268</v>
      </c>
      <c r="C28" s="19" t="s">
        <v>267</v>
      </c>
      <c r="D28" s="12" t="s">
        <v>266</v>
      </c>
      <c r="E28" s="39">
        <f t="shared" si="4"/>
        <v>4845000</v>
      </c>
      <c r="F28" s="39">
        <f>4845000-I28</f>
        <v>0</v>
      </c>
      <c r="G28" s="39"/>
      <c r="H28" s="39"/>
      <c r="I28" s="13">
        <v>4845000</v>
      </c>
      <c r="J28" s="39"/>
      <c r="K28" s="39"/>
      <c r="L28" s="13"/>
      <c r="M28" s="39"/>
      <c r="N28" s="39"/>
      <c r="O28" s="39"/>
      <c r="P28" s="10">
        <f t="shared" si="2"/>
        <v>4845000</v>
      </c>
    </row>
    <row r="29" spans="1:16" ht="22.5" x14ac:dyDescent="0.25">
      <c r="A29" s="19" t="s">
        <v>189</v>
      </c>
      <c r="B29" s="19">
        <v>7693</v>
      </c>
      <c r="C29" s="19" t="s">
        <v>188</v>
      </c>
      <c r="D29" s="14" t="s">
        <v>190</v>
      </c>
      <c r="E29" s="39">
        <f t="shared" si="4"/>
        <v>1400000</v>
      </c>
      <c r="F29" s="39">
        <v>1400000</v>
      </c>
      <c r="G29" s="39"/>
      <c r="H29" s="39"/>
      <c r="I29" s="13"/>
      <c r="J29" s="39"/>
      <c r="K29" s="39"/>
      <c r="L29" s="13"/>
      <c r="M29" s="39"/>
      <c r="N29" s="39"/>
      <c r="O29" s="39"/>
      <c r="P29" s="10">
        <f t="shared" si="2"/>
        <v>1400000</v>
      </c>
    </row>
    <row r="30" spans="1:16" ht="33.75" x14ac:dyDescent="0.25">
      <c r="A30" s="152" t="s">
        <v>383</v>
      </c>
      <c r="B30" s="152" t="s">
        <v>401</v>
      </c>
      <c r="C30" s="19" t="s">
        <v>402</v>
      </c>
      <c r="D30" s="122" t="s">
        <v>403</v>
      </c>
      <c r="E30" s="39">
        <f>F30+I30</f>
        <v>510000</v>
      </c>
      <c r="F30" s="39">
        <v>510000</v>
      </c>
      <c r="G30" s="39"/>
      <c r="H30" s="39">
        <v>20000</v>
      </c>
      <c r="I30" s="13"/>
      <c r="J30" s="39"/>
      <c r="K30" s="39"/>
      <c r="L30" s="13"/>
      <c r="M30" s="39"/>
      <c r="N30" s="39"/>
      <c r="O30" s="39"/>
      <c r="P30" s="10">
        <f t="shared" si="2"/>
        <v>510000</v>
      </c>
    </row>
    <row r="31" spans="1:16" ht="56.25" x14ac:dyDescent="0.25">
      <c r="A31" s="19" t="s">
        <v>384</v>
      </c>
      <c r="B31" s="19" t="s">
        <v>409</v>
      </c>
      <c r="C31" s="19" t="s">
        <v>175</v>
      </c>
      <c r="D31" s="14" t="s">
        <v>406</v>
      </c>
      <c r="E31" s="39"/>
      <c r="F31" s="39"/>
      <c r="G31" s="39"/>
      <c r="H31" s="39"/>
      <c r="I31" s="13"/>
      <c r="J31" s="39">
        <v>71192894</v>
      </c>
      <c r="K31" s="39">
        <v>71192894</v>
      </c>
      <c r="L31" s="13"/>
      <c r="M31" s="39"/>
      <c r="N31" s="39"/>
      <c r="O31" s="39">
        <v>10186150</v>
      </c>
      <c r="P31" s="10">
        <f t="shared" si="2"/>
        <v>71192894</v>
      </c>
    </row>
    <row r="32" spans="1:16" ht="45" x14ac:dyDescent="0.25">
      <c r="A32" s="19" t="s">
        <v>385</v>
      </c>
      <c r="B32" s="19" t="s">
        <v>408</v>
      </c>
      <c r="C32" s="19" t="s">
        <v>175</v>
      </c>
      <c r="D32" s="14" t="s">
        <v>407</v>
      </c>
      <c r="E32" s="39"/>
      <c r="F32" s="39"/>
      <c r="G32" s="39"/>
      <c r="H32" s="39"/>
      <c r="I32" s="13"/>
      <c r="J32" s="39">
        <v>3904350</v>
      </c>
      <c r="K32" s="39">
        <v>3904350</v>
      </c>
      <c r="L32" s="13"/>
      <c r="M32" s="39"/>
      <c r="N32" s="39"/>
      <c r="O32" s="39">
        <v>3904350</v>
      </c>
      <c r="P32" s="10">
        <f t="shared" si="2"/>
        <v>3904350</v>
      </c>
    </row>
    <row r="33" spans="1:16" x14ac:dyDescent="0.25">
      <c r="A33" s="20" t="s">
        <v>191</v>
      </c>
      <c r="B33" s="37"/>
      <c r="C33" s="37"/>
      <c r="D33" s="8" t="s">
        <v>16</v>
      </c>
      <c r="E33" s="15">
        <f>SUM(E34:E45)</f>
        <v>226285081</v>
      </c>
      <c r="F33" s="15">
        <f t="shared" ref="F33:I33" si="5">SUM(F34:F45)</f>
        <v>224335081</v>
      </c>
      <c r="G33" s="15">
        <f t="shared" si="5"/>
        <v>138961300</v>
      </c>
      <c r="H33" s="15">
        <f t="shared" si="5"/>
        <v>28348420</v>
      </c>
      <c r="I33" s="15">
        <f t="shared" si="5"/>
        <v>1950000</v>
      </c>
      <c r="J33" s="15">
        <f t="shared" ref="J33:O33" si="6">SUM(J34:J45)</f>
        <v>5275000</v>
      </c>
      <c r="K33" s="15">
        <f t="shared" si="6"/>
        <v>1350000</v>
      </c>
      <c r="L33" s="15">
        <f t="shared" si="6"/>
        <v>3925000</v>
      </c>
      <c r="M33" s="15">
        <f t="shared" si="6"/>
        <v>0</v>
      </c>
      <c r="N33" s="15">
        <f t="shared" si="6"/>
        <v>0</v>
      </c>
      <c r="O33" s="15">
        <f t="shared" si="6"/>
        <v>1350000</v>
      </c>
      <c r="P33" s="10">
        <f t="shared" si="2"/>
        <v>231560081</v>
      </c>
    </row>
    <row r="34" spans="1:16" ht="45" x14ac:dyDescent="0.25">
      <c r="A34" s="19" t="s">
        <v>192</v>
      </c>
      <c r="B34" s="19" t="s">
        <v>193</v>
      </c>
      <c r="C34" s="19" t="s">
        <v>158</v>
      </c>
      <c r="D34" s="12" t="s">
        <v>194</v>
      </c>
      <c r="E34" s="39">
        <f t="shared" ref="E34:E40" si="7">F34+I34</f>
        <v>3956350</v>
      </c>
      <c r="F34" s="39">
        <v>3956350</v>
      </c>
      <c r="G34" s="39">
        <v>3107500</v>
      </c>
      <c r="H34" s="39">
        <v>53200</v>
      </c>
      <c r="I34" s="13"/>
      <c r="J34" s="39"/>
      <c r="K34" s="39"/>
      <c r="L34" s="13"/>
      <c r="M34" s="39"/>
      <c r="N34" s="39"/>
      <c r="O34" s="39"/>
      <c r="P34" s="10">
        <f t="shared" si="2"/>
        <v>3956350</v>
      </c>
    </row>
    <row r="35" spans="1:16" x14ac:dyDescent="0.25">
      <c r="A35" s="19" t="s">
        <v>195</v>
      </c>
      <c r="B35" s="19">
        <v>1010</v>
      </c>
      <c r="C35" s="19" t="s">
        <v>196</v>
      </c>
      <c r="D35" s="12" t="s">
        <v>197</v>
      </c>
      <c r="E35" s="39">
        <f t="shared" si="7"/>
        <v>83538299</v>
      </c>
      <c r="F35" s="39">
        <v>83538299</v>
      </c>
      <c r="G35" s="39">
        <v>58016300</v>
      </c>
      <c r="H35" s="39">
        <v>5622500</v>
      </c>
      <c r="I35" s="13"/>
      <c r="J35" s="13">
        <v>2500000</v>
      </c>
      <c r="K35" s="13"/>
      <c r="L35" s="13">
        <v>2500000</v>
      </c>
      <c r="M35" s="39"/>
      <c r="N35" s="39"/>
      <c r="O35" s="13"/>
      <c r="P35" s="10">
        <f t="shared" si="2"/>
        <v>86038299</v>
      </c>
    </row>
    <row r="36" spans="1:16" ht="22.5" x14ac:dyDescent="0.25">
      <c r="A36" s="19" t="s">
        <v>198</v>
      </c>
      <c r="B36" s="19">
        <v>1021</v>
      </c>
      <c r="C36" s="19" t="s">
        <v>199</v>
      </c>
      <c r="D36" s="12" t="s">
        <v>200</v>
      </c>
      <c r="E36" s="39">
        <f t="shared" si="7"/>
        <v>120242505</v>
      </c>
      <c r="F36" s="40">
        <f>120242505-I36</f>
        <v>118292505</v>
      </c>
      <c r="G36" s="39">
        <v>65156800</v>
      </c>
      <c r="H36" s="39">
        <v>21448920</v>
      </c>
      <c r="I36" s="13">
        <v>1950000</v>
      </c>
      <c r="J36" s="13">
        <v>1400000</v>
      </c>
      <c r="K36" s="13"/>
      <c r="L36" s="13">
        <v>1400000</v>
      </c>
      <c r="M36" s="39"/>
      <c r="N36" s="39"/>
      <c r="O36" s="13"/>
      <c r="P36" s="10">
        <f t="shared" si="2"/>
        <v>121642505</v>
      </c>
    </row>
    <row r="37" spans="1:16" ht="33.75" x14ac:dyDescent="0.25">
      <c r="A37" s="19" t="s">
        <v>201</v>
      </c>
      <c r="B37" s="19" t="s">
        <v>202</v>
      </c>
      <c r="C37" s="41">
        <v>921</v>
      </c>
      <c r="D37" s="14" t="s">
        <v>203</v>
      </c>
      <c r="E37" s="39">
        <f t="shared" si="7"/>
        <v>7331210</v>
      </c>
      <c r="F37" s="40">
        <f>7331210</f>
        <v>7331210</v>
      </c>
      <c r="G37" s="39">
        <v>5272300</v>
      </c>
      <c r="H37" s="39">
        <v>647200</v>
      </c>
      <c r="I37" s="10"/>
      <c r="J37" s="39">
        <v>25000</v>
      </c>
      <c r="K37" s="39"/>
      <c r="L37" s="13">
        <v>25000</v>
      </c>
      <c r="M37" s="39"/>
      <c r="N37" s="39"/>
      <c r="O37" s="39"/>
      <c r="P37" s="10">
        <f t="shared" si="2"/>
        <v>7356210</v>
      </c>
    </row>
    <row r="38" spans="1:16" ht="22.5" x14ac:dyDescent="0.25">
      <c r="A38" s="19" t="s">
        <v>204</v>
      </c>
      <c r="B38" s="11">
        <v>1031</v>
      </c>
      <c r="C38" s="11">
        <v>921</v>
      </c>
      <c r="D38" s="12" t="s">
        <v>200</v>
      </c>
      <c r="E38" s="39">
        <f t="shared" si="7"/>
        <v>0</v>
      </c>
      <c r="F38" s="40"/>
      <c r="G38" s="39"/>
      <c r="H38" s="39"/>
      <c r="I38" s="10"/>
      <c r="J38" s="39"/>
      <c r="K38" s="39"/>
      <c r="L38" s="13"/>
      <c r="M38" s="39"/>
      <c r="N38" s="39"/>
      <c r="O38" s="39"/>
      <c r="P38" s="10">
        <f t="shared" si="2"/>
        <v>0</v>
      </c>
    </row>
    <row r="39" spans="1:16" ht="33.75" x14ac:dyDescent="0.25">
      <c r="A39" s="38" t="s">
        <v>205</v>
      </c>
      <c r="B39" s="38">
        <v>1070</v>
      </c>
      <c r="C39" s="38" t="s">
        <v>206</v>
      </c>
      <c r="D39" s="12" t="s">
        <v>207</v>
      </c>
      <c r="E39" s="39">
        <f t="shared" si="7"/>
        <v>5531317</v>
      </c>
      <c r="F39" s="40">
        <f>5531317</f>
        <v>5531317</v>
      </c>
      <c r="G39" s="39">
        <v>3953600</v>
      </c>
      <c r="H39" s="39">
        <v>495700</v>
      </c>
      <c r="I39" s="13"/>
      <c r="J39" s="39"/>
      <c r="K39" s="39"/>
      <c r="L39" s="13"/>
      <c r="M39" s="39"/>
      <c r="N39" s="39"/>
      <c r="O39" s="39"/>
      <c r="P39" s="10">
        <f t="shared" si="2"/>
        <v>5531317</v>
      </c>
    </row>
    <row r="40" spans="1:16" ht="22.5" x14ac:dyDescent="0.25">
      <c r="A40" s="38" t="s">
        <v>208</v>
      </c>
      <c r="B40" s="38">
        <v>1141</v>
      </c>
      <c r="C40" s="38" t="s">
        <v>165</v>
      </c>
      <c r="D40" s="12" t="s">
        <v>209</v>
      </c>
      <c r="E40" s="39">
        <f t="shared" si="7"/>
        <v>4463400</v>
      </c>
      <c r="F40" s="39">
        <f>4463400</f>
        <v>4463400</v>
      </c>
      <c r="G40" s="39">
        <v>3454800</v>
      </c>
      <c r="H40" s="39">
        <v>80900</v>
      </c>
      <c r="I40" s="13"/>
      <c r="J40" s="13"/>
      <c r="K40" s="39"/>
      <c r="L40" s="13"/>
      <c r="M40" s="39"/>
      <c r="N40" s="39"/>
      <c r="O40" s="39"/>
      <c r="P40" s="10">
        <f t="shared" si="2"/>
        <v>4463400</v>
      </c>
    </row>
    <row r="41" spans="1:16" x14ac:dyDescent="0.25">
      <c r="A41" s="38" t="s">
        <v>210</v>
      </c>
      <c r="B41" s="38">
        <v>1142</v>
      </c>
      <c r="C41" s="38" t="s">
        <v>165</v>
      </c>
      <c r="D41" s="12" t="s">
        <v>211</v>
      </c>
      <c r="E41" s="39">
        <f>F41+I41</f>
        <v>1222000</v>
      </c>
      <c r="F41" s="39">
        <v>1222000</v>
      </c>
      <c r="G41" s="39"/>
      <c r="H41" s="39"/>
      <c r="I41" s="13"/>
      <c r="J41" s="39"/>
      <c r="K41" s="39"/>
      <c r="L41" s="13"/>
      <c r="M41" s="39"/>
      <c r="N41" s="39"/>
      <c r="O41" s="39"/>
      <c r="P41" s="10">
        <f t="shared" si="2"/>
        <v>1222000</v>
      </c>
    </row>
    <row r="42" spans="1:16" ht="78.75" x14ac:dyDescent="0.25">
      <c r="A42" s="148" t="s">
        <v>371</v>
      </c>
      <c r="B42" s="148" t="s">
        <v>372</v>
      </c>
      <c r="C42" s="148" t="s">
        <v>165</v>
      </c>
      <c r="D42" s="149" t="s">
        <v>373</v>
      </c>
      <c r="E42" s="39"/>
      <c r="F42" s="39"/>
      <c r="G42" s="39"/>
      <c r="H42" s="39"/>
      <c r="I42" s="13"/>
      <c r="J42" s="39">
        <v>500000</v>
      </c>
      <c r="K42" s="39">
        <v>500000</v>
      </c>
      <c r="L42" s="13"/>
      <c r="M42" s="39"/>
      <c r="N42" s="39"/>
      <c r="O42" s="39">
        <v>500000</v>
      </c>
      <c r="P42" s="10">
        <f t="shared" si="2"/>
        <v>500000</v>
      </c>
    </row>
    <row r="43" spans="1:16" ht="67.5" x14ac:dyDescent="0.25">
      <c r="A43" s="38" t="s">
        <v>374</v>
      </c>
      <c r="B43" s="38" t="s">
        <v>375</v>
      </c>
      <c r="C43" s="38" t="s">
        <v>165</v>
      </c>
      <c r="D43" s="12" t="s">
        <v>376</v>
      </c>
      <c r="E43" s="39"/>
      <c r="F43" s="39"/>
      <c r="G43" s="39"/>
      <c r="H43" s="39"/>
      <c r="I43" s="13"/>
      <c r="J43" s="39">
        <v>350000</v>
      </c>
      <c r="K43" s="39">
        <v>350000</v>
      </c>
      <c r="L43" s="13"/>
      <c r="M43" s="39"/>
      <c r="N43" s="39"/>
      <c r="O43" s="39">
        <v>350000</v>
      </c>
      <c r="P43" s="10">
        <f t="shared" si="2"/>
        <v>350000</v>
      </c>
    </row>
    <row r="44" spans="1:16" ht="112.5" x14ac:dyDescent="0.25">
      <c r="A44" s="38" t="s">
        <v>377</v>
      </c>
      <c r="B44" s="38" t="s">
        <v>378</v>
      </c>
      <c r="C44" s="38" t="s">
        <v>165</v>
      </c>
      <c r="D44" s="12" t="s">
        <v>381</v>
      </c>
      <c r="E44" s="39"/>
      <c r="F44" s="39"/>
      <c r="G44" s="39"/>
      <c r="H44" s="39"/>
      <c r="I44" s="13"/>
      <c r="J44" s="39">
        <v>300000</v>
      </c>
      <c r="K44" s="39">
        <v>300000</v>
      </c>
      <c r="L44" s="13"/>
      <c r="M44" s="39"/>
      <c r="N44" s="39"/>
      <c r="O44" s="39">
        <v>300000</v>
      </c>
      <c r="P44" s="10">
        <f t="shared" si="2"/>
        <v>300000</v>
      </c>
    </row>
    <row r="45" spans="1:16" ht="101.25" x14ac:dyDescent="0.25">
      <c r="A45" s="38" t="s">
        <v>379</v>
      </c>
      <c r="B45" s="38" t="s">
        <v>380</v>
      </c>
      <c r="C45" s="38" t="s">
        <v>165</v>
      </c>
      <c r="D45" s="12" t="s">
        <v>382</v>
      </c>
      <c r="E45" s="39"/>
      <c r="F45" s="39"/>
      <c r="G45" s="39"/>
      <c r="H45" s="39"/>
      <c r="I45" s="13"/>
      <c r="J45" s="39">
        <v>200000</v>
      </c>
      <c r="K45" s="39">
        <v>200000</v>
      </c>
      <c r="L45" s="13"/>
      <c r="M45" s="39"/>
      <c r="N45" s="39"/>
      <c r="O45" s="39">
        <v>200000</v>
      </c>
      <c r="P45" s="10">
        <f t="shared" si="2"/>
        <v>200000</v>
      </c>
    </row>
    <row r="46" spans="1:16" x14ac:dyDescent="0.25">
      <c r="A46" s="21" t="s">
        <v>212</v>
      </c>
      <c r="B46" s="42"/>
      <c r="C46" s="42"/>
      <c r="D46" s="8" t="s">
        <v>17</v>
      </c>
      <c r="E46" s="15">
        <f t="shared" ref="E46:O46" si="8">SUM(E47:E49)</f>
        <v>4093731</v>
      </c>
      <c r="F46" s="15">
        <f t="shared" si="8"/>
        <v>3543731</v>
      </c>
      <c r="G46" s="15">
        <f t="shared" si="8"/>
        <v>1505423</v>
      </c>
      <c r="H46" s="15">
        <f t="shared" si="8"/>
        <v>0</v>
      </c>
      <c r="I46" s="15">
        <f t="shared" si="8"/>
        <v>550000</v>
      </c>
      <c r="J46" s="15">
        <f t="shared" si="8"/>
        <v>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15">
        <f t="shared" si="8"/>
        <v>0</v>
      </c>
      <c r="O46" s="15">
        <f t="shared" si="8"/>
        <v>0</v>
      </c>
      <c r="P46" s="10">
        <f t="shared" si="2"/>
        <v>4093731</v>
      </c>
    </row>
    <row r="47" spans="1:16" ht="45" x14ac:dyDescent="0.25">
      <c r="A47" s="38" t="s">
        <v>213</v>
      </c>
      <c r="B47" s="38" t="s">
        <v>193</v>
      </c>
      <c r="C47" s="38" t="s">
        <v>158</v>
      </c>
      <c r="D47" s="12" t="s">
        <v>194</v>
      </c>
      <c r="E47" s="39">
        <f t="shared" ref="E47:E48" si="9">F47+I47</f>
        <v>1875616</v>
      </c>
      <c r="F47" s="39">
        <v>1875616</v>
      </c>
      <c r="G47" s="39">
        <v>1505423</v>
      </c>
      <c r="H47" s="39"/>
      <c r="I47" s="13"/>
      <c r="J47" s="39"/>
      <c r="K47" s="39"/>
      <c r="L47" s="13"/>
      <c r="M47" s="39"/>
      <c r="N47" s="39"/>
      <c r="O47" s="39"/>
      <c r="P47" s="10">
        <f t="shared" si="2"/>
        <v>1875616</v>
      </c>
    </row>
    <row r="48" spans="1:16" ht="22.5" x14ac:dyDescent="0.25">
      <c r="A48" s="43" t="s">
        <v>214</v>
      </c>
      <c r="B48" s="43">
        <v>3112</v>
      </c>
      <c r="C48" s="43">
        <v>1040</v>
      </c>
      <c r="D48" s="18" t="s">
        <v>25</v>
      </c>
      <c r="E48" s="39">
        <f t="shared" si="9"/>
        <v>1197070</v>
      </c>
      <c r="F48" s="39">
        <f>1197070-550000</f>
        <v>647070</v>
      </c>
      <c r="G48" s="39"/>
      <c r="H48" s="39"/>
      <c r="I48" s="13">
        <v>550000</v>
      </c>
      <c r="J48" s="39"/>
      <c r="K48" s="39"/>
      <c r="L48" s="13"/>
      <c r="M48" s="39"/>
      <c r="N48" s="39"/>
      <c r="O48" s="39"/>
      <c r="P48" s="10">
        <f t="shared" si="2"/>
        <v>1197070</v>
      </c>
    </row>
    <row r="49" spans="1:16" ht="45" x14ac:dyDescent="0.25">
      <c r="A49" s="38" t="s">
        <v>215</v>
      </c>
      <c r="B49" s="38">
        <v>3133</v>
      </c>
      <c r="C49" s="38">
        <v>1040</v>
      </c>
      <c r="D49" s="12" t="s">
        <v>339</v>
      </c>
      <c r="E49" s="39">
        <f>F49+I49</f>
        <v>1021045</v>
      </c>
      <c r="F49" s="39">
        <v>1021045</v>
      </c>
      <c r="G49" s="39"/>
      <c r="H49" s="39"/>
      <c r="I49" s="13"/>
      <c r="J49" s="39"/>
      <c r="K49" s="39"/>
      <c r="L49" s="13"/>
      <c r="M49" s="39"/>
      <c r="N49" s="39"/>
      <c r="O49" s="39"/>
      <c r="P49" s="10">
        <f t="shared" si="2"/>
        <v>1021045</v>
      </c>
    </row>
    <row r="50" spans="1:16" x14ac:dyDescent="0.25">
      <c r="A50" s="21">
        <v>10</v>
      </c>
      <c r="B50" s="42"/>
      <c r="C50" s="42"/>
      <c r="D50" s="8" t="s">
        <v>18</v>
      </c>
      <c r="E50" s="15">
        <f>SUM(E51:E58)</f>
        <v>56545048</v>
      </c>
      <c r="F50" s="15">
        <f t="shared" ref="F50:I50" si="10">SUM(F51:F58)</f>
        <v>56545048</v>
      </c>
      <c r="G50" s="15">
        <f t="shared" si="10"/>
        <v>42879468</v>
      </c>
      <c r="H50" s="15">
        <f t="shared" si="10"/>
        <v>2474147</v>
      </c>
      <c r="I50" s="15">
        <f t="shared" si="10"/>
        <v>0</v>
      </c>
      <c r="J50" s="15">
        <f t="shared" ref="J50:O50" si="11">SUM(J51:J58)</f>
        <v>1663451</v>
      </c>
      <c r="K50" s="15">
        <f t="shared" si="11"/>
        <v>0</v>
      </c>
      <c r="L50" s="15">
        <f t="shared" si="11"/>
        <v>1663451</v>
      </c>
      <c r="M50" s="15">
        <f t="shared" si="11"/>
        <v>1260616</v>
      </c>
      <c r="N50" s="15">
        <f t="shared" si="11"/>
        <v>0</v>
      </c>
      <c r="O50" s="15">
        <f t="shared" si="11"/>
        <v>0</v>
      </c>
      <c r="P50" s="10">
        <f t="shared" si="2"/>
        <v>58208499</v>
      </c>
    </row>
    <row r="51" spans="1:16" ht="45" x14ac:dyDescent="0.25">
      <c r="A51" s="38">
        <v>1010160</v>
      </c>
      <c r="B51" s="38" t="s">
        <v>193</v>
      </c>
      <c r="C51" s="38" t="s">
        <v>158</v>
      </c>
      <c r="D51" s="12" t="s">
        <v>194</v>
      </c>
      <c r="E51" s="39">
        <f t="shared" ref="E51:E57" si="12">F51+I51</f>
        <v>2025831</v>
      </c>
      <c r="F51" s="39">
        <v>2025831</v>
      </c>
      <c r="G51" s="39">
        <v>1498740</v>
      </c>
      <c r="H51" s="39"/>
      <c r="I51" s="13"/>
      <c r="J51" s="39"/>
      <c r="K51" s="39"/>
      <c r="L51" s="13"/>
      <c r="M51" s="39"/>
      <c r="N51" s="39"/>
      <c r="O51" s="39"/>
      <c r="P51" s="10">
        <f t="shared" si="2"/>
        <v>2025831</v>
      </c>
    </row>
    <row r="52" spans="1:16" ht="22.5" x14ac:dyDescent="0.25">
      <c r="A52" s="38">
        <v>1011080</v>
      </c>
      <c r="B52" s="38">
        <v>1080</v>
      </c>
      <c r="C52" s="38" t="s">
        <v>206</v>
      </c>
      <c r="D52" s="12" t="s">
        <v>216</v>
      </c>
      <c r="E52" s="39">
        <f t="shared" si="12"/>
        <v>22630065</v>
      </c>
      <c r="F52" s="39">
        <f>22630065</f>
        <v>22630065</v>
      </c>
      <c r="G52" s="39">
        <v>18021535</v>
      </c>
      <c r="H52" s="39">
        <f>12000+146836+465084</f>
        <v>623920</v>
      </c>
      <c r="I52" s="39"/>
      <c r="J52" s="39">
        <v>1401111</v>
      </c>
      <c r="K52" s="39"/>
      <c r="L52" s="39">
        <v>1401111</v>
      </c>
      <c r="M52" s="39">
        <v>1148452</v>
      </c>
      <c r="N52" s="39"/>
      <c r="O52" s="39"/>
      <c r="P52" s="10">
        <f t="shared" si="2"/>
        <v>24031176</v>
      </c>
    </row>
    <row r="53" spans="1:16" x14ac:dyDescent="0.25">
      <c r="A53" s="38">
        <v>1014030</v>
      </c>
      <c r="B53" s="38">
        <v>4030</v>
      </c>
      <c r="C53" s="38" t="s">
        <v>217</v>
      </c>
      <c r="D53" s="12" t="s">
        <v>218</v>
      </c>
      <c r="E53" s="39">
        <f t="shared" si="12"/>
        <v>10985030</v>
      </c>
      <c r="F53" s="39">
        <f>10985030</f>
        <v>10985030</v>
      </c>
      <c r="G53" s="39">
        <v>8434435</v>
      </c>
      <c r="H53" s="39">
        <f>385808+10858+83526+107958+60000</f>
        <v>648150</v>
      </c>
      <c r="I53" s="13"/>
      <c r="J53" s="13">
        <v>30000</v>
      </c>
      <c r="K53" s="13"/>
      <c r="L53" s="13">
        <v>30000</v>
      </c>
      <c r="M53" s="39"/>
      <c r="N53" s="39"/>
      <c r="O53" s="13"/>
      <c r="P53" s="10">
        <f t="shared" si="2"/>
        <v>11015030</v>
      </c>
    </row>
    <row r="54" spans="1:16" x14ac:dyDescent="0.25">
      <c r="A54" s="38">
        <v>1014040</v>
      </c>
      <c r="B54" s="38">
        <v>4040</v>
      </c>
      <c r="C54" s="38" t="s">
        <v>217</v>
      </c>
      <c r="D54" s="12" t="s">
        <v>219</v>
      </c>
      <c r="E54" s="39">
        <f t="shared" si="12"/>
        <v>3385090</v>
      </c>
      <c r="F54" s="39">
        <f>3385090</f>
        <v>3385090</v>
      </c>
      <c r="G54" s="39">
        <v>2174500</v>
      </c>
      <c r="H54" s="39">
        <f>5490+112500+248000+2000</f>
        <v>367990</v>
      </c>
      <c r="I54" s="13"/>
      <c r="J54" s="39">
        <v>80000</v>
      </c>
      <c r="K54" s="39"/>
      <c r="L54" s="39">
        <v>80000</v>
      </c>
      <c r="M54" s="39"/>
      <c r="N54" s="39"/>
      <c r="O54" s="39"/>
      <c r="P54" s="10">
        <f t="shared" si="2"/>
        <v>3465090</v>
      </c>
    </row>
    <row r="55" spans="1:16" ht="33.75" x14ac:dyDescent="0.25">
      <c r="A55" s="19">
        <v>1014060</v>
      </c>
      <c r="B55" s="19">
        <v>4060</v>
      </c>
      <c r="C55" s="19" t="s">
        <v>220</v>
      </c>
      <c r="D55" s="12" t="s">
        <v>221</v>
      </c>
      <c r="E55" s="39">
        <f t="shared" si="12"/>
        <v>14774330</v>
      </c>
      <c r="F55" s="39">
        <f>14774330</f>
        <v>14774330</v>
      </c>
      <c r="G55" s="39">
        <v>11300000</v>
      </c>
      <c r="H55" s="39">
        <f>2849+489238+259000+83000</f>
        <v>834087</v>
      </c>
      <c r="I55" s="13"/>
      <c r="J55" s="39">
        <v>152340</v>
      </c>
      <c r="K55" s="39"/>
      <c r="L55" s="39">
        <v>152340</v>
      </c>
      <c r="M55" s="39">
        <v>112164</v>
      </c>
      <c r="N55" s="39"/>
      <c r="O55" s="39"/>
      <c r="P55" s="10">
        <f t="shared" si="2"/>
        <v>14926670</v>
      </c>
    </row>
    <row r="56" spans="1:16" ht="22.5" x14ac:dyDescent="0.25">
      <c r="A56" s="38">
        <v>1014081</v>
      </c>
      <c r="B56" s="38">
        <v>4081</v>
      </c>
      <c r="C56" s="38" t="s">
        <v>222</v>
      </c>
      <c r="D56" s="12" t="s">
        <v>223</v>
      </c>
      <c r="E56" s="39">
        <f t="shared" si="12"/>
        <v>1824802</v>
      </c>
      <c r="F56" s="39">
        <v>1824802</v>
      </c>
      <c r="G56" s="39">
        <v>1450258</v>
      </c>
      <c r="H56" s="39"/>
      <c r="I56" s="13"/>
      <c r="J56" s="39"/>
      <c r="K56" s="39"/>
      <c r="L56" s="39"/>
      <c r="M56" s="39"/>
      <c r="N56" s="39"/>
      <c r="O56" s="39"/>
      <c r="P56" s="10">
        <f t="shared" si="2"/>
        <v>1824802</v>
      </c>
    </row>
    <row r="57" spans="1:16" x14ac:dyDescent="0.25">
      <c r="A57" s="38">
        <v>1014082</v>
      </c>
      <c r="B57" s="38">
        <v>4082</v>
      </c>
      <c r="C57" s="38" t="s">
        <v>222</v>
      </c>
      <c r="D57" s="12" t="s">
        <v>224</v>
      </c>
      <c r="E57" s="39">
        <f t="shared" si="12"/>
        <v>820000</v>
      </c>
      <c r="F57" s="39">
        <v>820000</v>
      </c>
      <c r="G57" s="39"/>
      <c r="H57" s="39"/>
      <c r="I57" s="13"/>
      <c r="J57" s="39"/>
      <c r="K57" s="39"/>
      <c r="L57" s="39"/>
      <c r="M57" s="39"/>
      <c r="N57" s="39"/>
      <c r="O57" s="39"/>
      <c r="P57" s="10">
        <f t="shared" si="2"/>
        <v>820000</v>
      </c>
    </row>
    <row r="58" spans="1:16" ht="22.5" x14ac:dyDescent="0.25">
      <c r="A58" s="19" t="s">
        <v>363</v>
      </c>
      <c r="B58" s="19">
        <v>7370</v>
      </c>
      <c r="C58" s="19" t="s">
        <v>188</v>
      </c>
      <c r="D58" s="12" t="s">
        <v>15</v>
      </c>
      <c r="E58" s="39">
        <f>F58+I58</f>
        <v>99900</v>
      </c>
      <c r="F58" s="39">
        <v>99900</v>
      </c>
      <c r="G58" s="39"/>
      <c r="H58" s="39"/>
      <c r="I58" s="13"/>
      <c r="J58" s="39"/>
      <c r="K58" s="39"/>
      <c r="L58" s="39"/>
      <c r="M58" s="39"/>
      <c r="N58" s="39"/>
      <c r="O58" s="39"/>
      <c r="P58" s="10">
        <f t="shared" si="2"/>
        <v>99900</v>
      </c>
    </row>
    <row r="59" spans="1:16" x14ac:dyDescent="0.25">
      <c r="A59" s="20">
        <v>11</v>
      </c>
      <c r="B59" s="37"/>
      <c r="C59" s="37"/>
      <c r="D59" s="8" t="s">
        <v>19</v>
      </c>
      <c r="E59" s="15">
        <f>SUM(E60:E64)</f>
        <v>26893543</v>
      </c>
      <c r="F59" s="15">
        <f t="shared" ref="F59:I59" si="13">SUM(F60:F64)</f>
        <v>26893543</v>
      </c>
      <c r="G59" s="15">
        <f t="shared" si="13"/>
        <v>14127926</v>
      </c>
      <c r="H59" s="15">
        <f t="shared" si="13"/>
        <v>4694785</v>
      </c>
      <c r="I59" s="15">
        <f t="shared" si="13"/>
        <v>0</v>
      </c>
      <c r="J59" s="15">
        <f t="shared" ref="J59:O59" si="14">SUM(J60:J64)</f>
        <v>600000</v>
      </c>
      <c r="K59" s="15">
        <f t="shared" si="14"/>
        <v>0</v>
      </c>
      <c r="L59" s="15">
        <f t="shared" si="14"/>
        <v>600000</v>
      </c>
      <c r="M59" s="15">
        <f t="shared" si="14"/>
        <v>20000</v>
      </c>
      <c r="N59" s="15">
        <f t="shared" si="14"/>
        <v>542000</v>
      </c>
      <c r="O59" s="15">
        <f t="shared" si="14"/>
        <v>0</v>
      </c>
      <c r="P59" s="10">
        <f t="shared" si="2"/>
        <v>27493543</v>
      </c>
    </row>
    <row r="60" spans="1:16" ht="45" x14ac:dyDescent="0.25">
      <c r="A60" s="38">
        <v>1110160</v>
      </c>
      <c r="B60" s="38" t="s">
        <v>193</v>
      </c>
      <c r="C60" s="38" t="s">
        <v>158</v>
      </c>
      <c r="D60" s="12" t="s">
        <v>194</v>
      </c>
      <c r="E60" s="39">
        <f t="shared" ref="E60:E63" si="15">F60+I60</f>
        <v>3454040</v>
      </c>
      <c r="F60" s="39">
        <f>3454040</f>
        <v>3454040</v>
      </c>
      <c r="G60" s="39">
        <v>2516426</v>
      </c>
      <c r="H60" s="39">
        <f>2000+257000</f>
        <v>259000</v>
      </c>
      <c r="I60" s="13"/>
      <c r="J60" s="39"/>
      <c r="K60" s="39"/>
      <c r="L60" s="13"/>
      <c r="M60" s="39"/>
      <c r="N60" s="39"/>
      <c r="O60" s="39"/>
      <c r="P60" s="10">
        <f t="shared" si="2"/>
        <v>3454040</v>
      </c>
    </row>
    <row r="61" spans="1:16" ht="45" x14ac:dyDescent="0.25">
      <c r="A61" s="38">
        <v>1113133</v>
      </c>
      <c r="B61" s="38">
        <v>3133</v>
      </c>
      <c r="C61" s="38">
        <v>1040</v>
      </c>
      <c r="D61" s="12" t="s">
        <v>339</v>
      </c>
      <c r="E61" s="39">
        <f t="shared" si="15"/>
        <v>591500</v>
      </c>
      <c r="F61" s="39">
        <v>591500</v>
      </c>
      <c r="G61" s="39"/>
      <c r="H61" s="39"/>
      <c r="I61" s="13"/>
      <c r="J61" s="39"/>
      <c r="K61" s="39"/>
      <c r="L61" s="13"/>
      <c r="M61" s="39"/>
      <c r="N61" s="39"/>
      <c r="O61" s="39"/>
      <c r="P61" s="10">
        <f t="shared" si="2"/>
        <v>591500</v>
      </c>
    </row>
    <row r="62" spans="1:16" ht="45" x14ac:dyDescent="0.25">
      <c r="A62" s="38">
        <v>1115031</v>
      </c>
      <c r="B62" s="38">
        <v>5031</v>
      </c>
      <c r="C62" s="38" t="s">
        <v>225</v>
      </c>
      <c r="D62" s="12" t="s">
        <v>340</v>
      </c>
      <c r="E62" s="39">
        <f t="shared" si="15"/>
        <v>18965815</v>
      </c>
      <c r="F62" s="94">
        <f>18965815</f>
        <v>18965815</v>
      </c>
      <c r="G62" s="39">
        <v>11611500</v>
      </c>
      <c r="H62" s="39">
        <f>3091800+150400+1193585</f>
        <v>4435785</v>
      </c>
      <c r="I62" s="13"/>
      <c r="J62" s="39">
        <v>600000</v>
      </c>
      <c r="K62" s="39"/>
      <c r="L62" s="13">
        <v>600000</v>
      </c>
      <c r="M62" s="39">
        <v>20000</v>
      </c>
      <c r="N62" s="39">
        <v>542000</v>
      </c>
      <c r="O62" s="39"/>
      <c r="P62" s="10">
        <f t="shared" si="2"/>
        <v>19565815</v>
      </c>
    </row>
    <row r="63" spans="1:16" ht="45" x14ac:dyDescent="0.25">
      <c r="A63" s="38">
        <v>1115061</v>
      </c>
      <c r="B63" s="38">
        <v>5061</v>
      </c>
      <c r="C63" s="38" t="s">
        <v>225</v>
      </c>
      <c r="D63" s="12" t="s">
        <v>27</v>
      </c>
      <c r="E63" s="39">
        <f t="shared" si="15"/>
        <v>1570988</v>
      </c>
      <c r="F63" s="39">
        <v>1570988</v>
      </c>
      <c r="G63" s="39"/>
      <c r="H63" s="39"/>
      <c r="I63" s="13"/>
      <c r="J63" s="39"/>
      <c r="K63" s="39"/>
      <c r="L63" s="13"/>
      <c r="M63" s="39"/>
      <c r="N63" s="39"/>
      <c r="O63" s="39"/>
      <c r="P63" s="10">
        <f t="shared" si="2"/>
        <v>1570988</v>
      </c>
    </row>
    <row r="64" spans="1:16" ht="33.75" x14ac:dyDescent="0.25">
      <c r="A64" s="19">
        <v>1115062</v>
      </c>
      <c r="B64" s="19">
        <v>5062</v>
      </c>
      <c r="C64" s="19" t="s">
        <v>225</v>
      </c>
      <c r="D64" s="12" t="s">
        <v>28</v>
      </c>
      <c r="E64" s="39">
        <f>F64+I64</f>
        <v>2311200</v>
      </c>
      <c r="F64" s="39">
        <v>2311200</v>
      </c>
      <c r="G64" s="39"/>
      <c r="H64" s="39"/>
      <c r="I64" s="13"/>
      <c r="J64" s="39"/>
      <c r="K64" s="39"/>
      <c r="L64" s="13"/>
      <c r="M64" s="39"/>
      <c r="N64" s="39"/>
      <c r="O64" s="39"/>
      <c r="P64" s="10">
        <f t="shared" si="2"/>
        <v>2311200</v>
      </c>
    </row>
    <row r="65" spans="1:19" ht="21" x14ac:dyDescent="0.25">
      <c r="A65" s="20">
        <v>12</v>
      </c>
      <c r="B65" s="37"/>
      <c r="C65" s="37"/>
      <c r="D65" s="8" t="s">
        <v>20</v>
      </c>
      <c r="E65" s="15">
        <f>SUM(E66:E78)</f>
        <v>42331407</v>
      </c>
      <c r="F65" s="15">
        <f t="shared" ref="F65:I65" si="16">SUM(F66:F78)</f>
        <v>30331407</v>
      </c>
      <c r="G65" s="15">
        <f t="shared" si="16"/>
        <v>8758335</v>
      </c>
      <c r="H65" s="15">
        <f t="shared" si="16"/>
        <v>6633938</v>
      </c>
      <c r="I65" s="15">
        <f t="shared" si="16"/>
        <v>12000000</v>
      </c>
      <c r="J65" s="15">
        <f t="shared" ref="J65:O65" si="17">SUM(J66:J78)</f>
        <v>45292500</v>
      </c>
      <c r="K65" s="15">
        <f t="shared" si="17"/>
        <v>45292500</v>
      </c>
      <c r="L65" s="15">
        <f t="shared" si="17"/>
        <v>0</v>
      </c>
      <c r="M65" s="15">
        <f t="shared" si="17"/>
        <v>0</v>
      </c>
      <c r="N65" s="15">
        <f t="shared" si="17"/>
        <v>0</v>
      </c>
      <c r="O65" s="15">
        <f t="shared" si="17"/>
        <v>45292500</v>
      </c>
      <c r="P65" s="10">
        <f t="shared" si="2"/>
        <v>87623907</v>
      </c>
      <c r="S65" s="63"/>
    </row>
    <row r="66" spans="1:19" ht="56.25" x14ac:dyDescent="0.25">
      <c r="A66" s="38" t="s">
        <v>306</v>
      </c>
      <c r="B66" s="38" t="s">
        <v>157</v>
      </c>
      <c r="C66" s="38" t="s">
        <v>158</v>
      </c>
      <c r="D66" s="12" t="s">
        <v>159</v>
      </c>
      <c r="E66" s="39">
        <f t="shared" ref="E66:E77" si="18">F66+I66</f>
        <v>4157000</v>
      </c>
      <c r="F66" s="39">
        <f>4157000-I66</f>
        <v>4057000</v>
      </c>
      <c r="G66" s="39"/>
      <c r="H66" s="39">
        <v>4057000</v>
      </c>
      <c r="I66" s="13">
        <v>100000</v>
      </c>
      <c r="J66" s="39"/>
      <c r="K66" s="39"/>
      <c r="L66" s="13"/>
      <c r="M66" s="39"/>
      <c r="N66" s="39"/>
      <c r="O66" s="39"/>
      <c r="P66" s="10">
        <f t="shared" si="2"/>
        <v>4157000</v>
      </c>
      <c r="S66" s="63"/>
    </row>
    <row r="67" spans="1:19" ht="45" x14ac:dyDescent="0.25">
      <c r="A67" s="38">
        <v>1210160</v>
      </c>
      <c r="B67" s="38" t="s">
        <v>193</v>
      </c>
      <c r="C67" s="38" t="s">
        <v>158</v>
      </c>
      <c r="D67" s="12" t="s">
        <v>194</v>
      </c>
      <c r="E67" s="39">
        <f t="shared" si="18"/>
        <v>11507607</v>
      </c>
      <c r="F67" s="39">
        <f>11507607-I67</f>
        <v>11407607</v>
      </c>
      <c r="G67" s="39">
        <v>8758335</v>
      </c>
      <c r="H67" s="39">
        <f>6283+205555+25000</f>
        <v>236838</v>
      </c>
      <c r="I67" s="13">
        <v>100000</v>
      </c>
      <c r="J67" s="39"/>
      <c r="K67" s="39"/>
      <c r="L67" s="13"/>
      <c r="M67" s="39"/>
      <c r="N67" s="39"/>
      <c r="O67" s="39"/>
      <c r="P67" s="10">
        <f t="shared" ref="P67:P68" si="19">SUM(E67+J67)</f>
        <v>11507607</v>
      </c>
      <c r="S67" s="63"/>
    </row>
    <row r="68" spans="1:19" x14ac:dyDescent="0.25">
      <c r="A68" s="38" t="s">
        <v>307</v>
      </c>
      <c r="B68" s="19">
        <v>1010</v>
      </c>
      <c r="C68" s="19" t="s">
        <v>196</v>
      </c>
      <c r="D68" s="12" t="s">
        <v>197</v>
      </c>
      <c r="E68" s="39">
        <f t="shared" si="18"/>
        <v>650000</v>
      </c>
      <c r="F68" s="39">
        <v>650000</v>
      </c>
      <c r="G68" s="39"/>
      <c r="H68" s="39">
        <v>650000</v>
      </c>
      <c r="I68" s="13"/>
      <c r="J68" s="39"/>
      <c r="K68" s="39"/>
      <c r="L68" s="13"/>
      <c r="M68" s="39"/>
      <c r="N68" s="39"/>
      <c r="O68" s="39"/>
      <c r="P68" s="10">
        <f t="shared" si="19"/>
        <v>650000</v>
      </c>
    </row>
    <row r="69" spans="1:19" ht="22.5" x14ac:dyDescent="0.25">
      <c r="A69" s="19" t="s">
        <v>285</v>
      </c>
      <c r="B69" s="19">
        <v>1021</v>
      </c>
      <c r="C69" s="19" t="s">
        <v>199</v>
      </c>
      <c r="D69" s="12" t="s">
        <v>200</v>
      </c>
      <c r="E69" s="39">
        <f t="shared" si="18"/>
        <v>500000</v>
      </c>
      <c r="F69" s="39">
        <f>500000-I69</f>
        <v>0</v>
      </c>
      <c r="G69" s="39"/>
      <c r="H69" s="39"/>
      <c r="I69" s="13">
        <v>500000</v>
      </c>
      <c r="J69" s="39"/>
      <c r="K69" s="39"/>
      <c r="L69" s="13"/>
      <c r="M69" s="39"/>
      <c r="N69" s="39"/>
      <c r="O69" s="39"/>
      <c r="P69" s="10">
        <f t="shared" si="2"/>
        <v>500000</v>
      </c>
    </row>
    <row r="70" spans="1:19" ht="22.5" x14ac:dyDescent="0.25">
      <c r="A70" s="38" t="s">
        <v>314</v>
      </c>
      <c r="B70" s="38">
        <v>1080</v>
      </c>
      <c r="C70" s="38" t="s">
        <v>206</v>
      </c>
      <c r="D70" s="12" t="s">
        <v>216</v>
      </c>
      <c r="E70" s="39">
        <f t="shared" si="18"/>
        <v>4000000</v>
      </c>
      <c r="F70" s="39">
        <f>4000000-I70</f>
        <v>0</v>
      </c>
      <c r="G70" s="39"/>
      <c r="H70" s="39"/>
      <c r="I70" s="13">
        <v>4000000</v>
      </c>
      <c r="J70" s="39"/>
      <c r="K70" s="39"/>
      <c r="L70" s="13"/>
      <c r="M70" s="39"/>
      <c r="N70" s="39"/>
      <c r="O70" s="39"/>
      <c r="P70" s="10">
        <f t="shared" si="2"/>
        <v>4000000</v>
      </c>
    </row>
    <row r="71" spans="1:19" ht="45" x14ac:dyDescent="0.25">
      <c r="A71" s="153">
        <v>1211300</v>
      </c>
      <c r="B71" s="153">
        <v>1300</v>
      </c>
      <c r="C71" s="97">
        <v>990</v>
      </c>
      <c r="D71" s="122" t="s">
        <v>424</v>
      </c>
      <c r="E71" s="39">
        <f t="shared" si="18"/>
        <v>0</v>
      </c>
      <c r="F71" s="39"/>
      <c r="G71" s="39"/>
      <c r="H71" s="39"/>
      <c r="I71" s="13"/>
      <c r="J71" s="39">
        <v>42633000</v>
      </c>
      <c r="K71" s="39">
        <v>42633000</v>
      </c>
      <c r="L71" s="13"/>
      <c r="M71" s="39"/>
      <c r="N71" s="39"/>
      <c r="O71" s="39">
        <v>42633000</v>
      </c>
      <c r="P71" s="10">
        <f t="shared" si="2"/>
        <v>42633000</v>
      </c>
    </row>
    <row r="72" spans="1:19" ht="33.75" x14ac:dyDescent="0.25">
      <c r="A72" s="19" t="s">
        <v>313</v>
      </c>
      <c r="B72" s="19">
        <v>4060</v>
      </c>
      <c r="C72" s="19" t="s">
        <v>220</v>
      </c>
      <c r="D72" s="12" t="s">
        <v>221</v>
      </c>
      <c r="E72" s="39">
        <f t="shared" si="18"/>
        <v>818300</v>
      </c>
      <c r="F72" s="39">
        <v>818300</v>
      </c>
      <c r="G72" s="39"/>
      <c r="H72" s="39">
        <v>818300</v>
      </c>
      <c r="I72" s="13"/>
      <c r="J72" s="39"/>
      <c r="K72" s="39"/>
      <c r="L72" s="13"/>
      <c r="M72" s="39"/>
      <c r="N72" s="39"/>
      <c r="O72" s="39"/>
      <c r="P72" s="10">
        <f t="shared" si="2"/>
        <v>818300</v>
      </c>
    </row>
    <row r="73" spans="1:19" ht="22.5" x14ac:dyDescent="0.25">
      <c r="A73" s="69">
        <v>1216013</v>
      </c>
      <c r="B73" s="91">
        <v>6013</v>
      </c>
      <c r="C73" s="91">
        <v>620</v>
      </c>
      <c r="D73" s="93" t="s">
        <v>287</v>
      </c>
      <c r="E73" s="39">
        <f t="shared" si="18"/>
        <v>5480000</v>
      </c>
      <c r="F73" s="39">
        <f>5480000-I73</f>
        <v>3980000</v>
      </c>
      <c r="G73" s="39"/>
      <c r="H73" s="39"/>
      <c r="I73" s="13">
        <v>1500000</v>
      </c>
      <c r="J73" s="39"/>
      <c r="K73" s="39"/>
      <c r="L73" s="13"/>
      <c r="M73" s="39"/>
      <c r="N73" s="39"/>
      <c r="O73" s="39"/>
      <c r="P73" s="10">
        <f t="shared" si="2"/>
        <v>5480000</v>
      </c>
    </row>
    <row r="74" spans="1:19" ht="22.5" x14ac:dyDescent="0.25">
      <c r="A74" s="69">
        <v>1216040</v>
      </c>
      <c r="B74" s="91">
        <v>6040</v>
      </c>
      <c r="C74" s="91">
        <v>620</v>
      </c>
      <c r="D74" s="93" t="s">
        <v>308</v>
      </c>
      <c r="E74" s="39">
        <f t="shared" si="18"/>
        <v>1796700</v>
      </c>
      <c r="F74" s="39">
        <v>1796700</v>
      </c>
      <c r="G74" s="39"/>
      <c r="H74" s="39"/>
      <c r="I74" s="13"/>
      <c r="J74" s="39"/>
      <c r="K74" s="39"/>
      <c r="L74" s="13"/>
      <c r="M74" s="39"/>
      <c r="N74" s="39"/>
      <c r="O74" s="39"/>
      <c r="P74" s="10">
        <f t="shared" si="2"/>
        <v>1796700</v>
      </c>
    </row>
    <row r="75" spans="1:19" ht="90" x14ac:dyDescent="0.25">
      <c r="A75" s="38">
        <v>1216071</v>
      </c>
      <c r="B75" s="38">
        <v>6071</v>
      </c>
      <c r="C75" s="38" t="s">
        <v>226</v>
      </c>
      <c r="D75" s="14" t="s">
        <v>50</v>
      </c>
      <c r="E75" s="39">
        <f t="shared" si="18"/>
        <v>4900000</v>
      </c>
      <c r="F75" s="39">
        <v>4900000</v>
      </c>
      <c r="G75" s="39"/>
      <c r="H75" s="39"/>
      <c r="I75" s="13"/>
      <c r="J75" s="39"/>
      <c r="K75" s="39"/>
      <c r="L75" s="13"/>
      <c r="M75" s="39"/>
      <c r="N75" s="39"/>
      <c r="O75" s="39"/>
      <c r="P75" s="10">
        <f t="shared" si="2"/>
        <v>4900000</v>
      </c>
    </row>
    <row r="76" spans="1:19" ht="22.5" x14ac:dyDescent="0.25">
      <c r="A76" s="38">
        <v>1216090</v>
      </c>
      <c r="B76" s="38">
        <v>6090</v>
      </c>
      <c r="C76" s="38" t="s">
        <v>226</v>
      </c>
      <c r="D76" s="12" t="s">
        <v>227</v>
      </c>
      <c r="E76" s="39">
        <f t="shared" si="18"/>
        <v>3521800</v>
      </c>
      <c r="F76" s="94">
        <f>3521800-I76</f>
        <v>2721800</v>
      </c>
      <c r="G76" s="39"/>
      <c r="H76" s="39">
        <f>11000+860800</f>
        <v>871800</v>
      </c>
      <c r="I76" s="13">
        <v>800000</v>
      </c>
      <c r="J76" s="39"/>
      <c r="K76" s="39"/>
      <c r="L76" s="13"/>
      <c r="M76" s="39"/>
      <c r="N76" s="39"/>
      <c r="O76" s="39"/>
      <c r="P76" s="10">
        <f t="shared" si="2"/>
        <v>3521800</v>
      </c>
    </row>
    <row r="77" spans="1:19" ht="56.25" x14ac:dyDescent="0.25">
      <c r="A77" s="38" t="s">
        <v>364</v>
      </c>
      <c r="B77" s="38" t="s">
        <v>365</v>
      </c>
      <c r="C77" s="38" t="s">
        <v>226</v>
      </c>
      <c r="D77" s="12" t="s">
        <v>366</v>
      </c>
      <c r="E77" s="39">
        <f t="shared" si="18"/>
        <v>0</v>
      </c>
      <c r="F77" s="94"/>
      <c r="G77" s="39"/>
      <c r="H77" s="39"/>
      <c r="I77" s="13"/>
      <c r="J77" s="94">
        <f>2659500</f>
        <v>2659500</v>
      </c>
      <c r="K77" s="94">
        <f>2659500</f>
        <v>2659500</v>
      </c>
      <c r="L77" s="13"/>
      <c r="M77" s="39"/>
      <c r="N77" s="39"/>
      <c r="O77" s="94">
        <f>2659500</f>
        <v>2659500</v>
      </c>
      <c r="P77" s="10">
        <f t="shared" si="2"/>
        <v>2659500</v>
      </c>
    </row>
    <row r="78" spans="1:19" ht="22.5" x14ac:dyDescent="0.25">
      <c r="A78" s="69">
        <v>1217670</v>
      </c>
      <c r="B78" s="92">
        <v>7670</v>
      </c>
      <c r="C78" s="91">
        <v>490</v>
      </c>
      <c r="D78" s="93" t="s">
        <v>309</v>
      </c>
      <c r="E78" s="39">
        <f>F78+I78</f>
        <v>5000000</v>
      </c>
      <c r="F78" s="39">
        <f>5000000-I78</f>
        <v>0</v>
      </c>
      <c r="G78" s="39"/>
      <c r="H78" s="39"/>
      <c r="I78" s="13">
        <v>5000000</v>
      </c>
      <c r="J78" s="39"/>
      <c r="K78" s="39"/>
      <c r="L78" s="13"/>
      <c r="M78" s="39"/>
      <c r="N78" s="39"/>
      <c r="O78" s="39"/>
      <c r="P78" s="10">
        <f t="shared" si="2"/>
        <v>5000000</v>
      </c>
    </row>
    <row r="79" spans="1:19" ht="21" x14ac:dyDescent="0.25">
      <c r="A79" s="21">
        <v>14</v>
      </c>
      <c r="B79" s="42"/>
      <c r="C79" s="42"/>
      <c r="D79" s="8" t="s">
        <v>21</v>
      </c>
      <c r="E79" s="15">
        <f>SUM(E80:E86)</f>
        <v>71371660</v>
      </c>
      <c r="F79" s="15">
        <f t="shared" ref="F79:H79" si="20">SUM(F80:F86)</f>
        <v>63464660</v>
      </c>
      <c r="G79" s="15">
        <f t="shared" si="20"/>
        <v>6356000</v>
      </c>
      <c r="H79" s="15">
        <f t="shared" si="20"/>
        <v>0</v>
      </c>
      <c r="I79" s="15">
        <f t="shared" ref="I79:O79" si="21">SUM(I80:I86)</f>
        <v>7907000</v>
      </c>
      <c r="J79" s="15">
        <f t="shared" si="21"/>
        <v>5725300</v>
      </c>
      <c r="K79" s="15">
        <f t="shared" si="21"/>
        <v>5200000</v>
      </c>
      <c r="L79" s="15">
        <f t="shared" si="21"/>
        <v>525300</v>
      </c>
      <c r="M79" s="15">
        <f t="shared" si="21"/>
        <v>0</v>
      </c>
      <c r="N79" s="15">
        <f t="shared" si="21"/>
        <v>0</v>
      </c>
      <c r="O79" s="15">
        <f t="shared" si="21"/>
        <v>5200000</v>
      </c>
      <c r="P79" s="10">
        <f t="shared" si="2"/>
        <v>77096960</v>
      </c>
      <c r="S79" s="63"/>
    </row>
    <row r="80" spans="1:19" ht="22.5" x14ac:dyDescent="0.25">
      <c r="A80" s="38">
        <v>1410160</v>
      </c>
      <c r="B80" s="38" t="s">
        <v>193</v>
      </c>
      <c r="C80" s="38" t="s">
        <v>158</v>
      </c>
      <c r="D80" s="12" t="s">
        <v>228</v>
      </c>
      <c r="E80" s="39">
        <f t="shared" ref="E80:E85" si="22">F80+I80</f>
        <v>8119760</v>
      </c>
      <c r="F80" s="39">
        <v>8119760</v>
      </c>
      <c r="G80" s="39">
        <v>6356000</v>
      </c>
      <c r="H80" s="39"/>
      <c r="I80" s="13"/>
      <c r="J80" s="39"/>
      <c r="K80" s="39"/>
      <c r="L80" s="13"/>
      <c r="M80" s="39"/>
      <c r="N80" s="39"/>
      <c r="O80" s="39"/>
      <c r="P80" s="10">
        <f t="shared" si="2"/>
        <v>8119760</v>
      </c>
      <c r="S80" s="63"/>
    </row>
    <row r="81" spans="1:16" ht="22.5" x14ac:dyDescent="0.25">
      <c r="A81" s="38">
        <v>1416030</v>
      </c>
      <c r="B81" s="38">
        <v>6030</v>
      </c>
      <c r="C81" s="38" t="s">
        <v>229</v>
      </c>
      <c r="D81" s="12" t="s">
        <v>230</v>
      </c>
      <c r="E81" s="39">
        <f t="shared" si="22"/>
        <v>55501900</v>
      </c>
      <c r="F81" s="39">
        <f>55501900-I81</f>
        <v>52644900</v>
      </c>
      <c r="G81" s="39"/>
      <c r="H81" s="39"/>
      <c r="I81" s="13">
        <v>2857000</v>
      </c>
      <c r="J81" s="39"/>
      <c r="K81" s="39"/>
      <c r="L81" s="13"/>
      <c r="M81" s="39"/>
      <c r="N81" s="39"/>
      <c r="O81" s="39"/>
      <c r="P81" s="10">
        <f t="shared" si="2"/>
        <v>55501900</v>
      </c>
    </row>
    <row r="82" spans="1:16" ht="56.25" x14ac:dyDescent="0.25">
      <c r="A82" s="38" t="s">
        <v>367</v>
      </c>
      <c r="B82" s="38" t="s">
        <v>365</v>
      </c>
      <c r="C82" s="38" t="s">
        <v>226</v>
      </c>
      <c r="D82" s="12" t="s">
        <v>366</v>
      </c>
      <c r="E82" s="39">
        <f t="shared" si="22"/>
        <v>0</v>
      </c>
      <c r="F82" s="39"/>
      <c r="G82" s="39"/>
      <c r="H82" s="39"/>
      <c r="I82" s="13"/>
      <c r="J82" s="39">
        <v>5200000</v>
      </c>
      <c r="K82" s="39">
        <v>5200000</v>
      </c>
      <c r="L82" s="13"/>
      <c r="M82" s="39"/>
      <c r="N82" s="39"/>
      <c r="O82" s="39">
        <v>5200000</v>
      </c>
      <c r="P82" s="10">
        <f t="shared" si="2"/>
        <v>5200000</v>
      </c>
    </row>
    <row r="83" spans="1:16" ht="33.75" x14ac:dyDescent="0.25">
      <c r="A83" s="137">
        <v>1417461</v>
      </c>
      <c r="B83" s="138">
        <v>7461</v>
      </c>
      <c r="C83" s="139">
        <v>456</v>
      </c>
      <c r="D83" s="140" t="s">
        <v>356</v>
      </c>
      <c r="E83" s="39">
        <f t="shared" si="22"/>
        <v>6500000</v>
      </c>
      <c r="F83" s="39">
        <f>6500000-I83</f>
        <v>2500000</v>
      </c>
      <c r="G83" s="39"/>
      <c r="H83" s="39"/>
      <c r="I83" s="13">
        <v>4000000</v>
      </c>
      <c r="J83" s="39"/>
      <c r="K83" s="39"/>
      <c r="L83" s="13"/>
      <c r="M83" s="39"/>
      <c r="N83" s="39"/>
      <c r="O83" s="39"/>
      <c r="P83" s="10">
        <f t="shared" si="2"/>
        <v>6500000</v>
      </c>
    </row>
    <row r="84" spans="1:16" ht="22.5" x14ac:dyDescent="0.25">
      <c r="A84" s="146">
        <v>1417370</v>
      </c>
      <c r="B84" s="147">
        <v>7370</v>
      </c>
      <c r="C84" s="97">
        <v>490</v>
      </c>
      <c r="D84" s="98" t="s">
        <v>15</v>
      </c>
      <c r="E84" s="39">
        <f t="shared" si="22"/>
        <v>700000</v>
      </c>
      <c r="F84" s="39">
        <f>700000-I84</f>
        <v>200000</v>
      </c>
      <c r="G84" s="39"/>
      <c r="H84" s="39"/>
      <c r="I84" s="13">
        <v>500000</v>
      </c>
      <c r="J84" s="39"/>
      <c r="K84" s="39"/>
      <c r="L84" s="13"/>
      <c r="M84" s="39"/>
      <c r="N84" s="39"/>
      <c r="O84" s="39"/>
      <c r="P84" s="10">
        <f t="shared" si="2"/>
        <v>700000</v>
      </c>
    </row>
    <row r="85" spans="1:16" x14ac:dyDescent="0.25">
      <c r="A85" s="146">
        <v>1418311</v>
      </c>
      <c r="B85" s="147">
        <v>8311</v>
      </c>
      <c r="C85" s="97">
        <v>511</v>
      </c>
      <c r="D85" s="166" t="s">
        <v>432</v>
      </c>
      <c r="E85" s="39">
        <f t="shared" si="22"/>
        <v>550000</v>
      </c>
      <c r="F85" s="39">
        <f>550000-I85</f>
        <v>0</v>
      </c>
      <c r="G85" s="39"/>
      <c r="H85" s="39"/>
      <c r="I85" s="13">
        <v>550000</v>
      </c>
      <c r="J85" s="39"/>
      <c r="K85" s="39"/>
      <c r="L85" s="13"/>
      <c r="M85" s="39"/>
      <c r="N85" s="39"/>
      <c r="O85" s="39"/>
      <c r="P85" s="10">
        <f t="shared" si="2"/>
        <v>550000</v>
      </c>
    </row>
    <row r="86" spans="1:16" ht="22.5" x14ac:dyDescent="0.25">
      <c r="A86" s="38">
        <v>1418312</v>
      </c>
      <c r="B86" s="38">
        <v>8312</v>
      </c>
      <c r="C86" s="38" t="s">
        <v>231</v>
      </c>
      <c r="D86" s="12" t="s">
        <v>341</v>
      </c>
      <c r="E86" s="39">
        <f>F86+I86</f>
        <v>0</v>
      </c>
      <c r="F86" s="39"/>
      <c r="G86" s="39"/>
      <c r="H86" s="39"/>
      <c r="I86" s="13"/>
      <c r="J86" s="39">
        <v>525300</v>
      </c>
      <c r="K86" s="39"/>
      <c r="L86" s="39">
        <v>525300</v>
      </c>
      <c r="M86" s="39"/>
      <c r="N86" s="39"/>
      <c r="O86" s="44"/>
      <c r="P86" s="10">
        <f t="shared" si="2"/>
        <v>525300</v>
      </c>
    </row>
    <row r="87" spans="1:16" x14ac:dyDescent="0.25">
      <c r="A87" s="21">
        <v>37</v>
      </c>
      <c r="B87" s="42"/>
      <c r="C87" s="42"/>
      <c r="D87" s="8" t="s">
        <v>233</v>
      </c>
      <c r="E87" s="15">
        <f>SUM(E88:E90)</f>
        <v>12673314</v>
      </c>
      <c r="F87" s="15">
        <f t="shared" ref="F87:H87" si="23">SUM(F88:F90)</f>
        <v>6273314</v>
      </c>
      <c r="G87" s="15">
        <f t="shared" si="23"/>
        <v>3796160</v>
      </c>
      <c r="H87" s="15">
        <f t="shared" si="23"/>
        <v>0</v>
      </c>
      <c r="I87" s="15">
        <f t="shared" ref="I87:O87" si="24">SUM(I88:I90)</f>
        <v>100000</v>
      </c>
      <c r="J87" s="15">
        <f t="shared" si="24"/>
        <v>0</v>
      </c>
      <c r="K87" s="15">
        <f t="shared" si="24"/>
        <v>0</v>
      </c>
      <c r="L87" s="15">
        <f t="shared" si="24"/>
        <v>0</v>
      </c>
      <c r="M87" s="15">
        <f t="shared" si="24"/>
        <v>0</v>
      </c>
      <c r="N87" s="15">
        <f t="shared" si="24"/>
        <v>0</v>
      </c>
      <c r="O87" s="15">
        <f t="shared" si="24"/>
        <v>0</v>
      </c>
      <c r="P87" s="10">
        <f t="shared" si="2"/>
        <v>12673314</v>
      </c>
    </row>
    <row r="88" spans="1:16" ht="45" x14ac:dyDescent="0.25">
      <c r="A88" s="38">
        <v>3710160</v>
      </c>
      <c r="B88" s="38" t="s">
        <v>193</v>
      </c>
      <c r="C88" s="38" t="s">
        <v>158</v>
      </c>
      <c r="D88" s="12" t="s">
        <v>194</v>
      </c>
      <c r="E88" s="39">
        <v>5073314</v>
      </c>
      <c r="F88" s="39">
        <f>5073314-I88</f>
        <v>4973314</v>
      </c>
      <c r="G88" s="39">
        <v>3796160</v>
      </c>
      <c r="H88" s="39"/>
      <c r="I88" s="13">
        <v>100000</v>
      </c>
      <c r="J88" s="39"/>
      <c r="K88" s="39"/>
      <c r="L88" s="13"/>
      <c r="M88" s="39"/>
      <c r="N88" s="39"/>
      <c r="O88" s="39"/>
      <c r="P88" s="10">
        <f t="shared" si="2"/>
        <v>5073314</v>
      </c>
    </row>
    <row r="89" spans="1:16" x14ac:dyDescent="0.25">
      <c r="A89" s="38" t="s">
        <v>286</v>
      </c>
      <c r="B89" s="38" t="s">
        <v>305</v>
      </c>
      <c r="C89" s="38" t="s">
        <v>304</v>
      </c>
      <c r="D89" s="12" t="s">
        <v>303</v>
      </c>
      <c r="E89" s="39">
        <v>1300000</v>
      </c>
      <c r="F89" s="39">
        <v>1300000</v>
      </c>
      <c r="G89" s="39"/>
      <c r="H89" s="39"/>
      <c r="I89" s="13"/>
      <c r="J89" s="39"/>
      <c r="K89" s="39"/>
      <c r="L89" s="13"/>
      <c r="M89" s="39"/>
      <c r="N89" s="39"/>
      <c r="O89" s="39"/>
      <c r="P89" s="10">
        <f t="shared" si="2"/>
        <v>1300000</v>
      </c>
    </row>
    <row r="90" spans="1:16" x14ac:dyDescent="0.25">
      <c r="A90" s="38">
        <v>3718710</v>
      </c>
      <c r="B90" s="38">
        <v>8710</v>
      </c>
      <c r="C90" s="38" t="s">
        <v>162</v>
      </c>
      <c r="D90" s="12" t="s">
        <v>234</v>
      </c>
      <c r="E90" s="39">
        <v>6300000</v>
      </c>
      <c r="F90" s="39"/>
      <c r="G90" s="39"/>
      <c r="H90" s="39"/>
      <c r="I90" s="13"/>
      <c r="J90" s="39"/>
      <c r="K90" s="39"/>
      <c r="L90" s="13"/>
      <c r="M90" s="39"/>
      <c r="N90" s="39"/>
      <c r="O90" s="39"/>
      <c r="P90" s="10">
        <f t="shared" si="2"/>
        <v>6300000</v>
      </c>
    </row>
    <row r="91" spans="1:16" x14ac:dyDescent="0.25">
      <c r="A91" s="42"/>
      <c r="B91" s="42"/>
      <c r="C91" s="42"/>
      <c r="D91" s="7" t="s">
        <v>55</v>
      </c>
      <c r="E91" s="15">
        <f t="shared" ref="E91:O91" si="25">SUM(E11+E33+E46+E50+E59+E65+E79+E87)</f>
        <v>612316721</v>
      </c>
      <c r="F91" s="15">
        <f t="shared" si="25"/>
        <v>552469721</v>
      </c>
      <c r="G91" s="15">
        <f t="shared" si="25"/>
        <v>294078023</v>
      </c>
      <c r="H91" s="15">
        <f t="shared" si="25"/>
        <v>43312090</v>
      </c>
      <c r="I91" s="15">
        <f t="shared" si="25"/>
        <v>53547000</v>
      </c>
      <c r="J91" s="15">
        <f t="shared" si="25"/>
        <v>134965595</v>
      </c>
      <c r="K91" s="15">
        <f t="shared" si="25"/>
        <v>126939744</v>
      </c>
      <c r="L91" s="15">
        <f t="shared" si="25"/>
        <v>8025851</v>
      </c>
      <c r="M91" s="15">
        <f t="shared" si="25"/>
        <v>1700616</v>
      </c>
      <c r="N91" s="15">
        <f t="shared" si="25"/>
        <v>542000</v>
      </c>
      <c r="O91" s="15">
        <f t="shared" si="25"/>
        <v>65933000</v>
      </c>
      <c r="P91" s="10">
        <f>SUM(E91+J91)</f>
        <v>747282316</v>
      </c>
    </row>
    <row r="92" spans="1:16" x14ac:dyDescent="0.25">
      <c r="P92" s="63"/>
    </row>
    <row r="93" spans="1:16" x14ac:dyDescent="0.25">
      <c r="E93" s="121"/>
      <c r="F93" s="63"/>
      <c r="G93" s="185"/>
      <c r="J93" s="63"/>
      <c r="P93" s="121"/>
    </row>
    <row r="94" spans="1:16" ht="18.75" x14ac:dyDescent="0.3">
      <c r="B94" s="47" t="s">
        <v>236</v>
      </c>
      <c r="G94" s="63"/>
      <c r="K94" s="47" t="s">
        <v>237</v>
      </c>
      <c r="P94" s="63"/>
    </row>
    <row r="95" spans="1:16" x14ac:dyDescent="0.25">
      <c r="G95" s="63"/>
    </row>
  </sheetData>
  <mergeCells count="18">
    <mergeCell ref="D7:D9"/>
    <mergeCell ref="E7:I7"/>
    <mergeCell ref="J7:O7"/>
    <mergeCell ref="A7:A9"/>
    <mergeCell ref="B7:B9"/>
    <mergeCell ref="C7:C9"/>
    <mergeCell ref="A3:P3"/>
    <mergeCell ref="A4:P4"/>
    <mergeCell ref="P7:P9"/>
    <mergeCell ref="E8:E9"/>
    <mergeCell ref="F8:F9"/>
    <mergeCell ref="G8:H8"/>
    <mergeCell ref="I8:I9"/>
    <mergeCell ref="J8:J9"/>
    <mergeCell ref="K8:K9"/>
    <mergeCell ref="L8:L9"/>
    <mergeCell ref="M8:N8"/>
    <mergeCell ref="O8:O9"/>
  </mergeCells>
  <pageMargins left="0.70866141732283472" right="0.31496062992125984" top="0.55118110236220474" bottom="0.55118110236220474" header="0.11811023622047245" footer="0.11811023622047245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workbookViewId="0"/>
  </sheetViews>
  <sheetFormatPr defaultRowHeight="15" x14ac:dyDescent="0.25"/>
  <cols>
    <col min="1" max="1" width="16.28515625" customWidth="1"/>
    <col min="2" max="2" width="15.7109375" customWidth="1"/>
    <col min="3" max="3" width="70.140625" customWidth="1"/>
    <col min="4" max="4" width="15.28515625" customWidth="1"/>
    <col min="5" max="5" width="12.7109375" customWidth="1"/>
    <col min="6" max="6" width="13.28515625" customWidth="1"/>
  </cols>
  <sheetData>
    <row r="1" spans="1:4" ht="18.75" x14ac:dyDescent="0.25">
      <c r="A1" s="48"/>
      <c r="B1" s="204" t="s">
        <v>241</v>
      </c>
      <c r="C1" s="204"/>
    </row>
    <row r="2" spans="1:4" ht="18.75" x14ac:dyDescent="0.25">
      <c r="A2" s="1"/>
      <c r="B2" s="205" t="s">
        <v>465</v>
      </c>
      <c r="C2" s="205"/>
    </row>
    <row r="3" spans="1:4" ht="18.75" x14ac:dyDescent="0.25">
      <c r="A3" s="49"/>
      <c r="B3" s="46"/>
      <c r="C3" s="46"/>
    </row>
    <row r="4" spans="1:4" ht="18.75" x14ac:dyDescent="0.25">
      <c r="A4" s="206" t="s">
        <v>238</v>
      </c>
      <c r="B4" s="206"/>
      <c r="C4" s="206"/>
    </row>
    <row r="5" spans="1:4" ht="18.75" x14ac:dyDescent="0.25">
      <c r="A5" s="206" t="s">
        <v>335</v>
      </c>
      <c r="B5" s="206"/>
      <c r="C5" s="206"/>
    </row>
    <row r="6" spans="1:4" ht="18.75" x14ac:dyDescent="0.25">
      <c r="A6" s="49"/>
      <c r="B6" s="46"/>
      <c r="C6" s="46"/>
    </row>
    <row r="7" spans="1:4" ht="15.75" x14ac:dyDescent="0.25">
      <c r="A7" s="207" t="s">
        <v>320</v>
      </c>
      <c r="B7" s="207"/>
      <c r="C7" s="207"/>
    </row>
    <row r="8" spans="1:4" ht="15.75" x14ac:dyDescent="0.25">
      <c r="A8" s="130" t="s">
        <v>331</v>
      </c>
      <c r="B8" s="46"/>
      <c r="C8" s="46"/>
    </row>
    <row r="9" spans="1:4" ht="15.75" x14ac:dyDescent="0.25">
      <c r="A9" s="46"/>
      <c r="B9" s="46"/>
      <c r="C9" s="126"/>
      <c r="D9" t="s">
        <v>138</v>
      </c>
    </row>
    <row r="10" spans="1:4" ht="38.25" x14ac:dyDescent="0.25">
      <c r="A10" s="134" t="s">
        <v>321</v>
      </c>
      <c r="B10" s="187" t="s">
        <v>322</v>
      </c>
      <c r="C10" s="187"/>
      <c r="D10" s="134" t="s">
        <v>8</v>
      </c>
    </row>
    <row r="11" spans="1:4" ht="15.75" x14ac:dyDescent="0.25">
      <c r="A11" s="131">
        <v>1</v>
      </c>
      <c r="B11" s="200">
        <v>2</v>
      </c>
      <c r="C11" s="200"/>
      <c r="D11" s="131">
        <v>3</v>
      </c>
    </row>
    <row r="12" spans="1:4" x14ac:dyDescent="0.25">
      <c r="A12" s="201" t="s">
        <v>323</v>
      </c>
      <c r="B12" s="201"/>
      <c r="C12" s="201"/>
      <c r="D12" s="201"/>
    </row>
    <row r="13" spans="1:4" x14ac:dyDescent="0.25">
      <c r="A13" s="132">
        <v>41030000</v>
      </c>
      <c r="B13" s="202" t="s">
        <v>127</v>
      </c>
      <c r="C13" s="202"/>
      <c r="D13" s="25">
        <f>SUM(D14)</f>
        <v>0</v>
      </c>
    </row>
    <row r="14" spans="1:4" x14ac:dyDescent="0.25">
      <c r="A14" s="33">
        <v>41033900</v>
      </c>
      <c r="B14" s="203" t="s">
        <v>128</v>
      </c>
      <c r="C14" s="203"/>
      <c r="D14" s="28"/>
    </row>
    <row r="15" spans="1:4" x14ac:dyDescent="0.25">
      <c r="A15" s="133">
        <v>41050000</v>
      </c>
      <c r="B15" s="195" t="s">
        <v>129</v>
      </c>
      <c r="C15" s="195"/>
      <c r="D15" s="24">
        <f>SUM(D16+D17+D18+D19)</f>
        <v>66721</v>
      </c>
    </row>
    <row r="16" spans="1:4" ht="45.75" customHeight="1" x14ac:dyDescent="0.25">
      <c r="A16" s="32">
        <v>41051000</v>
      </c>
      <c r="B16" s="198" t="s">
        <v>130</v>
      </c>
      <c r="C16" s="198"/>
      <c r="D16" s="31"/>
    </row>
    <row r="17" spans="1:4" ht="29.25" customHeight="1" x14ac:dyDescent="0.25">
      <c r="A17" s="32">
        <v>41053900</v>
      </c>
      <c r="B17" s="199" t="s">
        <v>324</v>
      </c>
      <c r="C17" s="199"/>
      <c r="D17" s="31">
        <v>13000</v>
      </c>
    </row>
    <row r="18" spans="1:4" ht="33" customHeight="1" x14ac:dyDescent="0.25">
      <c r="A18" s="32">
        <v>41053900</v>
      </c>
      <c r="B18" s="199" t="s">
        <v>325</v>
      </c>
      <c r="C18" s="199"/>
      <c r="D18" s="31">
        <v>5721</v>
      </c>
    </row>
    <row r="19" spans="1:4" x14ac:dyDescent="0.25">
      <c r="A19" s="32">
        <v>41053900</v>
      </c>
      <c r="B19" s="199" t="s">
        <v>326</v>
      </c>
      <c r="C19" s="199"/>
      <c r="D19" s="31">
        <v>48000</v>
      </c>
    </row>
    <row r="20" spans="1:4" x14ac:dyDescent="0.25">
      <c r="A20" s="195" t="s">
        <v>327</v>
      </c>
      <c r="B20" s="195"/>
      <c r="C20" s="195"/>
      <c r="D20" s="195"/>
    </row>
    <row r="21" spans="1:4" x14ac:dyDescent="0.25">
      <c r="A21" s="135"/>
      <c r="B21" s="196"/>
      <c r="C21" s="196"/>
      <c r="D21" s="136">
        <v>0</v>
      </c>
    </row>
    <row r="22" spans="1:4" x14ac:dyDescent="0.25">
      <c r="A22" s="134" t="s">
        <v>239</v>
      </c>
      <c r="B22" s="197" t="s">
        <v>328</v>
      </c>
      <c r="C22" s="197"/>
      <c r="D22" s="24">
        <f>SUM(D23+D24)</f>
        <v>66721</v>
      </c>
    </row>
    <row r="23" spans="1:4" x14ac:dyDescent="0.25">
      <c r="A23" s="134" t="s">
        <v>239</v>
      </c>
      <c r="B23" s="197" t="s">
        <v>329</v>
      </c>
      <c r="C23" s="197"/>
      <c r="D23" s="24">
        <f>SUM(D13+D15)</f>
        <v>66721</v>
      </c>
    </row>
    <row r="24" spans="1:4" x14ac:dyDescent="0.25">
      <c r="A24" s="134" t="s">
        <v>239</v>
      </c>
      <c r="B24" s="197" t="s">
        <v>330</v>
      </c>
      <c r="C24" s="197"/>
      <c r="D24" s="24">
        <v>0</v>
      </c>
    </row>
    <row r="25" spans="1:4" ht="18.75" x14ac:dyDescent="0.25">
      <c r="A25" s="49"/>
      <c r="B25" s="46"/>
      <c r="C25" s="46"/>
    </row>
    <row r="26" spans="1:4" x14ac:dyDescent="0.25">
      <c r="A26" s="127"/>
      <c r="B26" s="129"/>
      <c r="C26" s="128"/>
    </row>
    <row r="27" spans="1:4" ht="18.75" x14ac:dyDescent="0.25">
      <c r="A27" s="50"/>
    </row>
    <row r="28" spans="1:4" ht="18.75" x14ac:dyDescent="0.3">
      <c r="A28" s="47" t="s">
        <v>240</v>
      </c>
      <c r="C28" s="47"/>
      <c r="D28" s="47"/>
    </row>
  </sheetData>
  <mergeCells count="20">
    <mergeCell ref="B1:C1"/>
    <mergeCell ref="B2:C2"/>
    <mergeCell ref="A4:C4"/>
    <mergeCell ref="A5:C5"/>
    <mergeCell ref="A7:C7"/>
    <mergeCell ref="B10:C10"/>
    <mergeCell ref="B11:C11"/>
    <mergeCell ref="A12:D12"/>
    <mergeCell ref="B13:C13"/>
    <mergeCell ref="B14:C14"/>
    <mergeCell ref="B15:C15"/>
    <mergeCell ref="B16:C16"/>
    <mergeCell ref="B17:C17"/>
    <mergeCell ref="B18:C18"/>
    <mergeCell ref="B19:C19"/>
    <mergeCell ref="A20:D20"/>
    <mergeCell ref="B21:C21"/>
    <mergeCell ref="B22:C22"/>
    <mergeCell ref="B23:C23"/>
    <mergeCell ref="B24:C24"/>
  </mergeCells>
  <pageMargins left="0.70866141732283472" right="0.31496062992125984" top="0.55118110236220474" bottom="0.55118110236220474" header="0.11811023622047245" footer="0.11811023622047245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opLeftCell="A31" zoomScale="110" zoomScaleNormal="110" workbookViewId="0">
      <selection activeCell="G14" sqref="G14"/>
    </sheetView>
  </sheetViews>
  <sheetFormatPr defaultRowHeight="15" x14ac:dyDescent="0.25"/>
  <cols>
    <col min="1" max="1" width="7.28515625" customWidth="1"/>
    <col min="2" max="2" width="25" customWidth="1"/>
    <col min="3" max="3" width="18.85546875" customWidth="1"/>
    <col min="4" max="4" width="9.28515625" customWidth="1"/>
    <col min="5" max="5" width="23.85546875" customWidth="1"/>
    <col min="6" max="6" width="18.28515625" customWidth="1"/>
    <col min="7" max="7" width="12.42578125" customWidth="1"/>
    <col min="8" max="8" width="13.28515625" customWidth="1"/>
    <col min="9" max="9" width="13" customWidth="1"/>
    <col min="10" max="10" width="12" customWidth="1"/>
    <col min="11" max="11" width="8.85546875" customWidth="1"/>
    <col min="12" max="12" width="8.28515625" customWidth="1"/>
    <col min="13" max="13" width="13.28515625" customWidth="1"/>
    <col min="14" max="14" width="12" customWidth="1"/>
  </cols>
  <sheetData>
    <row r="1" spans="1:14" ht="18.75" x14ac:dyDescent="0.25">
      <c r="A1" s="48"/>
      <c r="B1" s="208"/>
      <c r="C1" s="208"/>
      <c r="K1" s="208" t="s">
        <v>246</v>
      </c>
      <c r="L1" s="208"/>
      <c r="M1" s="208"/>
      <c r="N1" s="208"/>
    </row>
    <row r="2" spans="1:14" ht="18.75" x14ac:dyDescent="0.25">
      <c r="A2" s="1"/>
      <c r="B2" s="209"/>
      <c r="C2" s="209"/>
      <c r="K2" s="209" t="s">
        <v>466</v>
      </c>
      <c r="L2" s="209"/>
      <c r="M2" s="209"/>
      <c r="N2" s="209"/>
    </row>
    <row r="3" spans="1:14" ht="18.75" x14ac:dyDescent="0.25">
      <c r="A3" s="49"/>
      <c r="B3" s="46"/>
      <c r="C3" s="46"/>
    </row>
    <row r="4" spans="1:14" ht="15.75" x14ac:dyDescent="0.25">
      <c r="A4" s="210" t="s">
        <v>242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4" ht="15.75" x14ac:dyDescent="0.25">
      <c r="A5" s="210" t="s">
        <v>433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</row>
    <row r="6" spans="1:14" ht="15.75" x14ac:dyDescent="0.25">
      <c r="A6" s="210" t="s">
        <v>434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4" x14ac:dyDescent="0.25">
      <c r="A7" s="213" t="s">
        <v>332</v>
      </c>
      <c r="B7" s="213"/>
      <c r="C7" s="213"/>
    </row>
    <row r="8" spans="1:14" x14ac:dyDescent="0.25">
      <c r="A8" s="214" t="s">
        <v>245</v>
      </c>
      <c r="B8" s="214"/>
      <c r="C8" s="214"/>
    </row>
    <row r="9" spans="1:14" ht="15.75" x14ac:dyDescent="0.25">
      <c r="A9" s="51"/>
    </row>
    <row r="10" spans="1:14" ht="34.5" customHeight="1" x14ac:dyDescent="0.25">
      <c r="A10" s="215" t="s">
        <v>389</v>
      </c>
      <c r="B10" s="216" t="s">
        <v>390</v>
      </c>
      <c r="C10" s="212" t="s">
        <v>391</v>
      </c>
      <c r="D10" s="212" t="s">
        <v>386</v>
      </c>
      <c r="E10" s="212" t="s">
        <v>387</v>
      </c>
      <c r="F10" s="212" t="s">
        <v>388</v>
      </c>
      <c r="G10" s="212" t="s">
        <v>392</v>
      </c>
      <c r="H10" s="212" t="s">
        <v>393</v>
      </c>
      <c r="I10" s="212" t="s">
        <v>400</v>
      </c>
      <c r="J10" s="211" t="s">
        <v>394</v>
      </c>
      <c r="K10" s="211"/>
      <c r="L10" s="211"/>
      <c r="M10" s="211"/>
      <c r="N10" s="211"/>
    </row>
    <row r="11" spans="1:14" ht="150" customHeight="1" x14ac:dyDescent="0.25">
      <c r="A11" s="215"/>
      <c r="B11" s="216"/>
      <c r="C11" s="212"/>
      <c r="D11" s="212"/>
      <c r="E11" s="212"/>
      <c r="F11" s="212"/>
      <c r="G11" s="212"/>
      <c r="H11" s="212"/>
      <c r="I11" s="212"/>
      <c r="J11" s="183" t="s">
        <v>395</v>
      </c>
      <c r="K11" s="183" t="s">
        <v>396</v>
      </c>
      <c r="L11" s="183" t="s">
        <v>397</v>
      </c>
      <c r="M11" s="183" t="s">
        <v>398</v>
      </c>
      <c r="N11" s="183" t="s">
        <v>399</v>
      </c>
    </row>
    <row r="12" spans="1:14" ht="14.45" customHeight="1" x14ac:dyDescent="0.25">
      <c r="A12" s="158">
        <v>1</v>
      </c>
      <c r="B12" s="53">
        <v>2</v>
      </c>
      <c r="C12" s="53">
        <v>3</v>
      </c>
      <c r="D12" s="157">
        <v>4</v>
      </c>
      <c r="E12" s="53">
        <v>5</v>
      </c>
      <c r="F12" s="53">
        <v>6</v>
      </c>
      <c r="G12" s="150">
        <v>7</v>
      </c>
      <c r="H12" s="150">
        <v>8</v>
      </c>
      <c r="I12" s="150">
        <v>9</v>
      </c>
      <c r="J12" s="150">
        <v>10</v>
      </c>
      <c r="K12" s="151">
        <v>11</v>
      </c>
      <c r="L12" s="151">
        <v>12</v>
      </c>
      <c r="M12" s="151">
        <v>13</v>
      </c>
      <c r="N12" s="151">
        <v>14</v>
      </c>
    </row>
    <row r="13" spans="1:14" x14ac:dyDescent="0.25">
      <c r="A13" s="158">
        <v>1</v>
      </c>
      <c r="B13" s="53" t="s">
        <v>410</v>
      </c>
      <c r="C13" s="53" t="s">
        <v>437</v>
      </c>
      <c r="D13" s="157" t="s">
        <v>437</v>
      </c>
      <c r="E13" s="53" t="s">
        <v>437</v>
      </c>
      <c r="F13" s="53" t="s">
        <v>16</v>
      </c>
      <c r="G13" s="150" t="s">
        <v>437</v>
      </c>
      <c r="H13" s="150" t="s">
        <v>437</v>
      </c>
      <c r="I13" s="169">
        <f>SUM(J13:N13)</f>
        <v>1350000</v>
      </c>
      <c r="J13" s="168">
        <f>J15+J17+J19+J21</f>
        <v>1350000</v>
      </c>
      <c r="K13" s="168">
        <f t="shared" ref="K13:N13" si="0">K15+K17+K19+K21</f>
        <v>0</v>
      </c>
      <c r="L13" s="168">
        <f t="shared" si="0"/>
        <v>0</v>
      </c>
      <c r="M13" s="168">
        <f t="shared" si="0"/>
        <v>0</v>
      </c>
      <c r="N13" s="168">
        <f t="shared" si="0"/>
        <v>0</v>
      </c>
    </row>
    <row r="14" spans="1:14" ht="56.25" x14ac:dyDescent="0.25">
      <c r="A14" s="159" t="s">
        <v>435</v>
      </c>
      <c r="B14" s="92" t="s">
        <v>436</v>
      </c>
      <c r="C14" s="158" t="s">
        <v>411</v>
      </c>
      <c r="D14" s="159" t="s">
        <v>437</v>
      </c>
      <c r="E14" s="158" t="s">
        <v>437</v>
      </c>
      <c r="F14" s="53" t="s">
        <v>16</v>
      </c>
      <c r="G14" s="53" t="s">
        <v>412</v>
      </c>
      <c r="H14" s="59">
        <v>13564250</v>
      </c>
      <c r="I14" s="59">
        <f>SUM(J14:N14)</f>
        <v>500000</v>
      </c>
      <c r="J14" s="59">
        <v>500000</v>
      </c>
      <c r="K14" s="55"/>
      <c r="L14" s="55"/>
      <c r="M14" s="55"/>
      <c r="N14" s="55"/>
    </row>
    <row r="15" spans="1:14" ht="101.25" x14ac:dyDescent="0.25">
      <c r="A15" s="159" t="s">
        <v>437</v>
      </c>
      <c r="B15" s="92" t="s">
        <v>437</v>
      </c>
      <c r="C15" s="158" t="s">
        <v>437</v>
      </c>
      <c r="D15" s="159" t="s">
        <v>371</v>
      </c>
      <c r="E15" s="161" t="s">
        <v>373</v>
      </c>
      <c r="F15" s="53" t="s">
        <v>437</v>
      </c>
      <c r="G15" s="53" t="s">
        <v>437</v>
      </c>
      <c r="H15" s="59" t="s">
        <v>437</v>
      </c>
      <c r="I15" s="59">
        <f>SUM(J15:N15)</f>
        <v>500000</v>
      </c>
      <c r="J15" s="59">
        <v>500000</v>
      </c>
      <c r="K15" s="55"/>
      <c r="L15" s="55"/>
      <c r="M15" s="55"/>
      <c r="N15" s="55"/>
    </row>
    <row r="16" spans="1:14" ht="38.25" x14ac:dyDescent="0.25">
      <c r="A16" s="159" t="s">
        <v>438</v>
      </c>
      <c r="B16" s="158" t="s">
        <v>439</v>
      </c>
      <c r="C16" s="158" t="s">
        <v>413</v>
      </c>
      <c r="D16" s="167" t="s">
        <v>437</v>
      </c>
      <c r="E16" s="167" t="s">
        <v>437</v>
      </c>
      <c r="F16" s="53" t="s">
        <v>16</v>
      </c>
      <c r="G16" s="53" t="s">
        <v>412</v>
      </c>
      <c r="H16" s="59">
        <v>5040000</v>
      </c>
      <c r="I16" s="59">
        <f t="shared" ref="I16:I35" si="1">SUM(J16:N16)</f>
        <v>350000</v>
      </c>
      <c r="J16" s="59">
        <v>350000</v>
      </c>
      <c r="K16" s="55"/>
      <c r="L16" s="55"/>
      <c r="M16" s="55"/>
      <c r="N16" s="55"/>
    </row>
    <row r="17" spans="1:14" ht="101.25" x14ac:dyDescent="0.25">
      <c r="A17" s="159" t="s">
        <v>437</v>
      </c>
      <c r="B17" s="158" t="s">
        <v>437</v>
      </c>
      <c r="C17" s="158" t="s">
        <v>437</v>
      </c>
      <c r="D17" s="159" t="s">
        <v>374</v>
      </c>
      <c r="E17" s="161" t="s">
        <v>376</v>
      </c>
      <c r="F17" s="53" t="s">
        <v>437</v>
      </c>
      <c r="G17" s="53" t="s">
        <v>437</v>
      </c>
      <c r="H17" s="59" t="s">
        <v>437</v>
      </c>
      <c r="I17" s="59">
        <f t="shared" si="1"/>
        <v>350000</v>
      </c>
      <c r="J17" s="59">
        <v>350000</v>
      </c>
      <c r="K17" s="55"/>
      <c r="L17" s="55"/>
      <c r="M17" s="55"/>
      <c r="N17" s="55"/>
    </row>
    <row r="18" spans="1:14" ht="110.45" customHeight="1" x14ac:dyDescent="0.25">
      <c r="A18" s="159" t="s">
        <v>440</v>
      </c>
      <c r="B18" s="92" t="s">
        <v>441</v>
      </c>
      <c r="C18" s="158" t="s">
        <v>442</v>
      </c>
      <c r="D18" s="167" t="s">
        <v>437</v>
      </c>
      <c r="E18" s="167" t="s">
        <v>437</v>
      </c>
      <c r="F18" s="53" t="s">
        <v>16</v>
      </c>
      <c r="G18" s="53" t="s">
        <v>412</v>
      </c>
      <c r="H18" s="59">
        <v>33884660</v>
      </c>
      <c r="I18" s="59">
        <f t="shared" si="1"/>
        <v>300000</v>
      </c>
      <c r="J18" s="59">
        <v>300000</v>
      </c>
      <c r="K18" s="55"/>
      <c r="L18" s="55"/>
      <c r="M18" s="55"/>
      <c r="N18" s="55"/>
    </row>
    <row r="19" spans="1:14" ht="157.5" x14ac:dyDescent="0.25">
      <c r="A19" s="159" t="s">
        <v>437</v>
      </c>
      <c r="B19" s="158" t="s">
        <v>437</v>
      </c>
      <c r="C19" s="158" t="s">
        <v>437</v>
      </c>
      <c r="D19" s="159" t="s">
        <v>377</v>
      </c>
      <c r="E19" s="12" t="s">
        <v>381</v>
      </c>
      <c r="F19" s="53" t="s">
        <v>437</v>
      </c>
      <c r="G19" s="53" t="s">
        <v>437</v>
      </c>
      <c r="H19" s="59" t="s">
        <v>437</v>
      </c>
      <c r="I19" s="59">
        <f t="shared" si="1"/>
        <v>300000</v>
      </c>
      <c r="J19" s="59">
        <v>300000</v>
      </c>
      <c r="K19" s="55"/>
      <c r="L19" s="55"/>
      <c r="M19" s="55"/>
      <c r="N19" s="55"/>
    </row>
    <row r="20" spans="1:14" ht="90" x14ac:dyDescent="0.25">
      <c r="A20" s="159" t="s">
        <v>444</v>
      </c>
      <c r="B20" s="92" t="s">
        <v>443</v>
      </c>
      <c r="C20" s="158" t="s">
        <v>415</v>
      </c>
      <c r="D20" s="159" t="s">
        <v>437</v>
      </c>
      <c r="E20" s="92" t="s">
        <v>437</v>
      </c>
      <c r="F20" s="53" t="s">
        <v>16</v>
      </c>
      <c r="G20" s="53" t="s">
        <v>412</v>
      </c>
      <c r="H20" s="59">
        <v>2000000</v>
      </c>
      <c r="I20" s="59">
        <f t="shared" si="1"/>
        <v>200000</v>
      </c>
      <c r="J20" s="59">
        <v>200000</v>
      </c>
      <c r="K20" s="55"/>
      <c r="L20" s="55"/>
      <c r="M20" s="55"/>
      <c r="N20" s="55"/>
    </row>
    <row r="21" spans="1:14" ht="135" x14ac:dyDescent="0.25">
      <c r="A21" s="158" t="s">
        <v>437</v>
      </c>
      <c r="B21" s="92" t="s">
        <v>437</v>
      </c>
      <c r="C21" s="158" t="s">
        <v>437</v>
      </c>
      <c r="D21" s="159" t="s">
        <v>379</v>
      </c>
      <c r="E21" s="92" t="s">
        <v>382</v>
      </c>
      <c r="F21" s="53" t="s">
        <v>437</v>
      </c>
      <c r="G21" s="53" t="s">
        <v>437</v>
      </c>
      <c r="H21" s="59" t="s">
        <v>437</v>
      </c>
      <c r="I21" s="59">
        <f t="shared" si="1"/>
        <v>200000</v>
      </c>
      <c r="J21" s="59">
        <v>200000</v>
      </c>
      <c r="K21" s="55"/>
      <c r="L21" s="55"/>
      <c r="M21" s="55"/>
      <c r="N21" s="55"/>
    </row>
    <row r="22" spans="1:14" ht="25.5" x14ac:dyDescent="0.25">
      <c r="A22" s="158">
        <v>2</v>
      </c>
      <c r="B22" s="52" t="s">
        <v>416</v>
      </c>
      <c r="C22" s="158" t="s">
        <v>437</v>
      </c>
      <c r="D22" s="159" t="s">
        <v>437</v>
      </c>
      <c r="E22" s="92" t="s">
        <v>437</v>
      </c>
      <c r="F22" s="52" t="s">
        <v>417</v>
      </c>
      <c r="G22" s="53" t="s">
        <v>437</v>
      </c>
      <c r="H22" s="59" t="s">
        <v>437</v>
      </c>
      <c r="I22" s="169">
        <f t="shared" si="1"/>
        <v>75097244</v>
      </c>
      <c r="J22" s="169">
        <f>J25+J26</f>
        <v>14090500</v>
      </c>
      <c r="K22" s="169">
        <f t="shared" ref="K22:N22" si="2">K25+K26</f>
        <v>0</v>
      </c>
      <c r="L22" s="169">
        <f t="shared" si="2"/>
        <v>0</v>
      </c>
      <c r="M22" s="169">
        <f t="shared" si="2"/>
        <v>0</v>
      </c>
      <c r="N22" s="169">
        <f t="shared" si="2"/>
        <v>61006744</v>
      </c>
    </row>
    <row r="23" spans="1:14" ht="51" x14ac:dyDescent="0.25">
      <c r="A23" s="159" t="s">
        <v>447</v>
      </c>
      <c r="B23" s="158" t="s">
        <v>445</v>
      </c>
      <c r="C23" s="158" t="s">
        <v>414</v>
      </c>
      <c r="D23" s="159" t="s">
        <v>437</v>
      </c>
      <c r="E23" s="92" t="s">
        <v>437</v>
      </c>
      <c r="F23" s="158" t="s">
        <v>417</v>
      </c>
      <c r="G23" s="53" t="s">
        <v>420</v>
      </c>
      <c r="H23" s="59">
        <v>81679000</v>
      </c>
      <c r="I23" s="59">
        <f t="shared" si="1"/>
        <v>36581444</v>
      </c>
      <c r="J23" s="59">
        <v>3366700</v>
      </c>
      <c r="K23" s="55"/>
      <c r="L23" s="55"/>
      <c r="M23" s="55"/>
      <c r="N23" s="55">
        <v>33214744</v>
      </c>
    </row>
    <row r="24" spans="1:14" ht="56.25" x14ac:dyDescent="0.25">
      <c r="A24" s="159" t="s">
        <v>448</v>
      </c>
      <c r="B24" s="92" t="s">
        <v>446</v>
      </c>
      <c r="C24" s="158" t="s">
        <v>419</v>
      </c>
      <c r="D24" s="159" t="s">
        <v>437</v>
      </c>
      <c r="E24" s="92" t="s">
        <v>437</v>
      </c>
      <c r="F24" s="158" t="s">
        <v>417</v>
      </c>
      <c r="G24" s="53" t="s">
        <v>421</v>
      </c>
      <c r="H24" s="59">
        <v>43287500</v>
      </c>
      <c r="I24" s="59">
        <f t="shared" si="1"/>
        <v>34611450</v>
      </c>
      <c r="J24" s="59">
        <v>6819450</v>
      </c>
      <c r="K24" s="55"/>
      <c r="L24" s="55"/>
      <c r="M24" s="55"/>
      <c r="N24" s="55">
        <v>27792000</v>
      </c>
    </row>
    <row r="25" spans="1:14" ht="67.5" x14ac:dyDescent="0.25">
      <c r="A25" s="158" t="s">
        <v>437</v>
      </c>
      <c r="B25" s="158" t="s">
        <v>437</v>
      </c>
      <c r="C25" s="158" t="s">
        <v>437</v>
      </c>
      <c r="D25" s="159" t="s">
        <v>384</v>
      </c>
      <c r="E25" s="92" t="s">
        <v>406</v>
      </c>
      <c r="F25" s="158" t="s">
        <v>437</v>
      </c>
      <c r="G25" s="53" t="s">
        <v>437</v>
      </c>
      <c r="H25" s="59" t="s">
        <v>437</v>
      </c>
      <c r="I25" s="59">
        <f>I23+I24</f>
        <v>71192894</v>
      </c>
      <c r="J25" s="59">
        <f t="shared" ref="J25:N25" si="3">J23+J24</f>
        <v>10186150</v>
      </c>
      <c r="K25" s="59">
        <f t="shared" si="3"/>
        <v>0</v>
      </c>
      <c r="L25" s="59">
        <f t="shared" si="3"/>
        <v>0</v>
      </c>
      <c r="M25" s="59">
        <f t="shared" si="3"/>
        <v>0</v>
      </c>
      <c r="N25" s="59">
        <f t="shared" si="3"/>
        <v>61006744</v>
      </c>
    </row>
    <row r="26" spans="1:14" ht="135" x14ac:dyDescent="0.25">
      <c r="A26" s="159" t="s">
        <v>449</v>
      </c>
      <c r="B26" s="92" t="s">
        <v>450</v>
      </c>
      <c r="C26" s="162" t="s">
        <v>418</v>
      </c>
      <c r="D26" s="159" t="s">
        <v>437</v>
      </c>
      <c r="E26" s="92" t="s">
        <v>437</v>
      </c>
      <c r="F26" s="158" t="s">
        <v>417</v>
      </c>
      <c r="G26" s="53" t="s">
        <v>420</v>
      </c>
      <c r="H26" s="59">
        <v>8178800</v>
      </c>
      <c r="I26" s="59">
        <f t="shared" si="1"/>
        <v>3904350</v>
      </c>
      <c r="J26" s="59">
        <v>3904350</v>
      </c>
      <c r="K26" s="55"/>
      <c r="L26" s="55"/>
      <c r="M26" s="55"/>
      <c r="N26" s="55"/>
    </row>
    <row r="27" spans="1:14" ht="56.25" x14ac:dyDescent="0.25">
      <c r="A27" s="159" t="s">
        <v>437</v>
      </c>
      <c r="B27" s="158" t="s">
        <v>437</v>
      </c>
      <c r="C27" s="162" t="s">
        <v>437</v>
      </c>
      <c r="D27" s="159" t="s">
        <v>385</v>
      </c>
      <c r="E27" s="92" t="s">
        <v>407</v>
      </c>
      <c r="F27" s="158" t="s">
        <v>437</v>
      </c>
      <c r="G27" s="53" t="s">
        <v>437</v>
      </c>
      <c r="H27" s="59" t="s">
        <v>437</v>
      </c>
      <c r="I27" s="59">
        <f t="shared" si="1"/>
        <v>3904350</v>
      </c>
      <c r="J27" s="59">
        <v>3904350</v>
      </c>
      <c r="K27" s="55"/>
      <c r="L27" s="55"/>
      <c r="M27" s="55"/>
      <c r="N27" s="55"/>
    </row>
    <row r="28" spans="1:14" ht="38.450000000000003" customHeight="1" x14ac:dyDescent="0.25">
      <c r="A28" s="160" t="s">
        <v>451</v>
      </c>
      <c r="B28" s="52" t="s">
        <v>422</v>
      </c>
      <c r="C28" s="162" t="s">
        <v>437</v>
      </c>
      <c r="D28" s="171" t="s">
        <v>437</v>
      </c>
      <c r="E28" s="170" t="s">
        <v>437</v>
      </c>
      <c r="F28" s="158" t="s">
        <v>437</v>
      </c>
      <c r="G28" s="53" t="s">
        <v>437</v>
      </c>
      <c r="H28" s="59" t="s">
        <v>437</v>
      </c>
      <c r="I28" s="169">
        <f t="shared" si="1"/>
        <v>50492500</v>
      </c>
      <c r="J28" s="169">
        <f>J30+J33+J35</f>
        <v>7859500</v>
      </c>
      <c r="K28" s="169">
        <f t="shared" ref="K28:N28" si="4">K30+K33+K35</f>
        <v>0</v>
      </c>
      <c r="L28" s="169">
        <f t="shared" si="4"/>
        <v>0</v>
      </c>
      <c r="M28" s="169">
        <f t="shared" si="4"/>
        <v>42633000</v>
      </c>
      <c r="N28" s="169">
        <f t="shared" si="4"/>
        <v>0</v>
      </c>
    </row>
    <row r="29" spans="1:14" ht="78.75" x14ac:dyDescent="0.25">
      <c r="A29" s="159" t="s">
        <v>452</v>
      </c>
      <c r="B29" s="92" t="s">
        <v>453</v>
      </c>
      <c r="C29" s="158" t="s">
        <v>423</v>
      </c>
      <c r="D29" s="159" t="s">
        <v>437</v>
      </c>
      <c r="E29" s="173" t="s">
        <v>437</v>
      </c>
      <c r="F29" s="158" t="s">
        <v>426</v>
      </c>
      <c r="G29" s="53" t="s">
        <v>412</v>
      </c>
      <c r="H29" s="59">
        <v>42633000</v>
      </c>
      <c r="I29" s="59">
        <f t="shared" si="1"/>
        <v>42633000</v>
      </c>
      <c r="J29" s="59"/>
      <c r="K29" s="55"/>
      <c r="L29" s="55"/>
      <c r="M29" s="55">
        <v>42633000</v>
      </c>
      <c r="N29" s="55"/>
    </row>
    <row r="30" spans="1:14" ht="68.25" x14ac:dyDescent="0.25">
      <c r="A30" s="159" t="s">
        <v>437</v>
      </c>
      <c r="B30" s="158" t="s">
        <v>437</v>
      </c>
      <c r="C30" s="158" t="s">
        <v>437</v>
      </c>
      <c r="D30" s="172" t="s">
        <v>425</v>
      </c>
      <c r="E30" s="163" t="s">
        <v>424</v>
      </c>
      <c r="F30" s="158" t="s">
        <v>426</v>
      </c>
      <c r="G30" s="53" t="s">
        <v>437</v>
      </c>
      <c r="H30" s="59" t="s">
        <v>437</v>
      </c>
      <c r="I30" s="59">
        <f t="shared" si="1"/>
        <v>42633000</v>
      </c>
      <c r="J30" s="59"/>
      <c r="K30" s="55"/>
      <c r="L30" s="55"/>
      <c r="M30" s="55">
        <v>42633000</v>
      </c>
      <c r="N30" s="55"/>
    </row>
    <row r="31" spans="1:14" ht="56.25" x14ac:dyDescent="0.25">
      <c r="A31" s="159" t="s">
        <v>456</v>
      </c>
      <c r="B31" s="92" t="s">
        <v>454</v>
      </c>
      <c r="C31" s="165" t="s">
        <v>427</v>
      </c>
      <c r="D31" s="159" t="s">
        <v>437</v>
      </c>
      <c r="E31" s="92" t="s">
        <v>437</v>
      </c>
      <c r="F31" s="158" t="s">
        <v>426</v>
      </c>
      <c r="G31" s="53" t="s">
        <v>430</v>
      </c>
      <c r="H31" s="59">
        <v>12459246</v>
      </c>
      <c r="I31" s="59">
        <f t="shared" si="1"/>
        <v>2159500</v>
      </c>
      <c r="J31" s="59">
        <v>2159500</v>
      </c>
      <c r="K31" s="55"/>
      <c r="L31" s="55"/>
      <c r="M31" s="55"/>
      <c r="N31" s="55"/>
    </row>
    <row r="32" spans="1:14" ht="78.75" x14ac:dyDescent="0.25">
      <c r="A32" s="159" t="s">
        <v>457</v>
      </c>
      <c r="B32" s="92" t="s">
        <v>455</v>
      </c>
      <c r="C32" s="164" t="s">
        <v>428</v>
      </c>
      <c r="D32" s="159" t="s">
        <v>437</v>
      </c>
      <c r="E32" s="92" t="s">
        <v>437</v>
      </c>
      <c r="F32" s="158" t="s">
        <v>426</v>
      </c>
      <c r="G32" s="53" t="s">
        <v>430</v>
      </c>
      <c r="H32" s="59">
        <v>4159492</v>
      </c>
      <c r="I32" s="59">
        <f t="shared" si="1"/>
        <v>500000</v>
      </c>
      <c r="J32" s="59">
        <v>500000</v>
      </c>
      <c r="K32" s="55"/>
      <c r="L32" s="55"/>
      <c r="M32" s="55"/>
      <c r="N32" s="55"/>
    </row>
    <row r="33" spans="1:14" ht="78.75" x14ac:dyDescent="0.25">
      <c r="A33" s="159" t="s">
        <v>437</v>
      </c>
      <c r="B33" s="158" t="s">
        <v>437</v>
      </c>
      <c r="C33" s="164" t="s">
        <v>437</v>
      </c>
      <c r="D33" s="159" t="s">
        <v>364</v>
      </c>
      <c r="E33" s="92" t="s">
        <v>366</v>
      </c>
      <c r="F33" s="158" t="s">
        <v>426</v>
      </c>
      <c r="G33" s="53" t="s">
        <v>437</v>
      </c>
      <c r="H33" s="59" t="s">
        <v>437</v>
      </c>
      <c r="I33" s="59">
        <f t="shared" si="1"/>
        <v>2659500</v>
      </c>
      <c r="J33" s="59">
        <f>J31+J32</f>
        <v>2659500</v>
      </c>
      <c r="K33" s="59">
        <f t="shared" ref="K33:N33" si="5">K31+K32</f>
        <v>0</v>
      </c>
      <c r="L33" s="59">
        <f t="shared" si="5"/>
        <v>0</v>
      </c>
      <c r="M33" s="59">
        <f t="shared" si="5"/>
        <v>0</v>
      </c>
      <c r="N33" s="59">
        <f t="shared" si="5"/>
        <v>0</v>
      </c>
    </row>
    <row r="34" spans="1:14" ht="56.25" x14ac:dyDescent="0.25">
      <c r="A34" s="159" t="s">
        <v>458</v>
      </c>
      <c r="B34" s="92" t="s">
        <v>459</v>
      </c>
      <c r="C34" s="158" t="s">
        <v>429</v>
      </c>
      <c r="D34" s="159" t="s">
        <v>437</v>
      </c>
      <c r="E34" s="92" t="s">
        <v>437</v>
      </c>
      <c r="F34" s="158" t="s">
        <v>460</v>
      </c>
      <c r="G34" s="53" t="s">
        <v>431</v>
      </c>
      <c r="H34" s="59">
        <v>29814133</v>
      </c>
      <c r="I34" s="59">
        <f t="shared" si="1"/>
        <v>5200000</v>
      </c>
      <c r="J34" s="59">
        <v>5200000</v>
      </c>
      <c r="K34" s="55"/>
      <c r="L34" s="55"/>
      <c r="M34" s="55"/>
      <c r="N34" s="55"/>
    </row>
    <row r="35" spans="1:14" ht="78.75" x14ac:dyDescent="0.25">
      <c r="A35" s="159" t="s">
        <v>437</v>
      </c>
      <c r="B35" s="158" t="s">
        <v>437</v>
      </c>
      <c r="C35" s="158" t="s">
        <v>437</v>
      </c>
      <c r="D35" s="159" t="s">
        <v>367</v>
      </c>
      <c r="E35" s="92" t="s">
        <v>366</v>
      </c>
      <c r="F35" s="158" t="s">
        <v>460</v>
      </c>
      <c r="G35" s="53" t="s">
        <v>437</v>
      </c>
      <c r="H35" s="59" t="s">
        <v>437</v>
      </c>
      <c r="I35" s="59">
        <f t="shared" si="1"/>
        <v>5200000</v>
      </c>
      <c r="J35" s="59">
        <v>5200000</v>
      </c>
      <c r="K35" s="55"/>
      <c r="L35" s="55"/>
      <c r="M35" s="55"/>
      <c r="N35" s="55"/>
    </row>
    <row r="36" spans="1:14" x14ac:dyDescent="0.25">
      <c r="A36" s="57" t="s">
        <v>239</v>
      </c>
      <c r="B36" s="57" t="s">
        <v>239</v>
      </c>
      <c r="C36" s="57" t="s">
        <v>239</v>
      </c>
      <c r="D36" s="58" t="s">
        <v>244</v>
      </c>
      <c r="E36" s="57" t="s">
        <v>239</v>
      </c>
      <c r="F36" s="57" t="s">
        <v>239</v>
      </c>
      <c r="G36" s="57"/>
      <c r="H36" s="57"/>
      <c r="I36" s="184">
        <f>I13+I22+I28</f>
        <v>126939744</v>
      </c>
      <c r="J36" s="184">
        <f>J13+J22+J28</f>
        <v>23300000</v>
      </c>
      <c r="K36" s="184">
        <f t="shared" ref="K36:N36" si="6">K13+K22+K28</f>
        <v>0</v>
      </c>
      <c r="L36" s="184">
        <f t="shared" si="6"/>
        <v>0</v>
      </c>
      <c r="M36" s="184">
        <f t="shared" si="6"/>
        <v>42633000</v>
      </c>
      <c r="N36" s="184">
        <f t="shared" si="6"/>
        <v>61006744</v>
      </c>
    </row>
    <row r="37" spans="1:14" ht="18.75" x14ac:dyDescent="0.25">
      <c r="A37" s="50"/>
    </row>
    <row r="38" spans="1:14" ht="18.75" x14ac:dyDescent="0.25">
      <c r="A38" s="50"/>
    </row>
    <row r="39" spans="1:14" ht="18.75" x14ac:dyDescent="0.3">
      <c r="A39" s="47" t="s">
        <v>240</v>
      </c>
      <c r="C39" s="47"/>
      <c r="D39" s="47"/>
    </row>
  </sheetData>
  <mergeCells count="19">
    <mergeCell ref="J10:N10"/>
    <mergeCell ref="F10:F11"/>
    <mergeCell ref="A7:C7"/>
    <mergeCell ref="A8:C8"/>
    <mergeCell ref="A10:A11"/>
    <mergeCell ref="B10:B11"/>
    <mergeCell ref="C10:C11"/>
    <mergeCell ref="G10:G11"/>
    <mergeCell ref="H10:H11"/>
    <mergeCell ref="I10:I11"/>
    <mergeCell ref="D10:D11"/>
    <mergeCell ref="E10:E11"/>
    <mergeCell ref="K1:N1"/>
    <mergeCell ref="K2:N2"/>
    <mergeCell ref="A4:N4"/>
    <mergeCell ref="A5:N5"/>
    <mergeCell ref="A6:N6"/>
    <mergeCell ref="B1:C1"/>
    <mergeCell ref="B2:C2"/>
  </mergeCells>
  <pageMargins left="0.70866141732283472" right="0.31496062992125984" top="0.55118110236220474" bottom="0.55118110236220474" header="0.11811023622047245" footer="0.11811023622047245"/>
  <pageSetup paperSize="9"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49" workbookViewId="0">
      <selection activeCell="E61" sqref="E61:F61"/>
    </sheetView>
  </sheetViews>
  <sheetFormatPr defaultRowHeight="15" x14ac:dyDescent="0.25"/>
  <cols>
    <col min="1" max="1" width="12.42578125" customWidth="1"/>
    <col min="2" max="2" width="11.42578125" customWidth="1"/>
    <col min="3" max="3" width="10.42578125" customWidth="1"/>
    <col min="4" max="4" width="28.42578125" customWidth="1"/>
    <col min="5" max="5" width="29.85546875" customWidth="1"/>
    <col min="6" max="6" width="13.140625" customWidth="1"/>
    <col min="7" max="7" width="13.7109375" customWidth="1"/>
    <col min="8" max="8" width="13.28515625" customWidth="1"/>
    <col min="9" max="9" width="11.85546875" customWidth="1"/>
    <col min="10" max="10" width="14.140625" customWidth="1"/>
    <col min="12" max="12" width="13.85546875" customWidth="1"/>
  </cols>
  <sheetData>
    <row r="1" spans="1:10" ht="18.75" x14ac:dyDescent="0.25">
      <c r="A1" s="1"/>
      <c r="G1" s="16" t="s">
        <v>0</v>
      </c>
    </row>
    <row r="2" spans="1:10" ht="18.75" x14ac:dyDescent="0.25">
      <c r="A2" s="2"/>
      <c r="G2" s="17" t="s">
        <v>467</v>
      </c>
    </row>
    <row r="3" spans="1:10" x14ac:dyDescent="0.25">
      <c r="A3" s="3"/>
    </row>
    <row r="4" spans="1:10" ht="18.75" x14ac:dyDescent="0.25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8.75" x14ac:dyDescent="0.25">
      <c r="A5" s="186" t="s">
        <v>334</v>
      </c>
      <c r="B5" s="186"/>
      <c r="C5" s="186"/>
      <c r="D5" s="186"/>
      <c r="E5" s="186"/>
      <c r="F5" s="186"/>
      <c r="G5" s="186"/>
      <c r="H5" s="186"/>
      <c r="I5" s="186"/>
      <c r="J5" s="186"/>
    </row>
    <row r="6" spans="1:10" x14ac:dyDescent="0.25">
      <c r="A6" s="4" t="s">
        <v>331</v>
      </c>
    </row>
    <row r="7" spans="1:10" x14ac:dyDescent="0.25">
      <c r="A7" s="5"/>
    </row>
    <row r="8" spans="1:10" ht="49.5" customHeight="1" x14ac:dyDescent="0.25">
      <c r="A8" s="217" t="s">
        <v>2</v>
      </c>
      <c r="B8" s="217" t="s">
        <v>3</v>
      </c>
      <c r="C8" s="217" t="s">
        <v>4</v>
      </c>
      <c r="D8" s="217" t="s">
        <v>5</v>
      </c>
      <c r="E8" s="217" t="s">
        <v>6</v>
      </c>
      <c r="F8" s="217" t="s">
        <v>7</v>
      </c>
      <c r="G8" s="217" t="s">
        <v>8</v>
      </c>
      <c r="H8" s="217" t="s">
        <v>9</v>
      </c>
      <c r="I8" s="217" t="s">
        <v>10</v>
      </c>
      <c r="J8" s="217"/>
    </row>
    <row r="9" spans="1:10" ht="31.5" customHeight="1" x14ac:dyDescent="0.25">
      <c r="A9" s="217"/>
      <c r="B9" s="217"/>
      <c r="C9" s="217"/>
      <c r="D9" s="217"/>
      <c r="E9" s="217"/>
      <c r="F9" s="217"/>
      <c r="G9" s="217"/>
      <c r="H9" s="217"/>
      <c r="I9" s="7" t="s">
        <v>11</v>
      </c>
      <c r="J9" s="7" t="s">
        <v>12</v>
      </c>
    </row>
    <row r="10" spans="1:10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0" x14ac:dyDescent="0.25">
      <c r="A11" s="20" t="s">
        <v>155</v>
      </c>
      <c r="B11" s="7"/>
      <c r="C11" s="7"/>
      <c r="D11" s="8" t="s">
        <v>13</v>
      </c>
      <c r="E11" s="9"/>
      <c r="F11" s="9"/>
      <c r="G11" s="10">
        <f>SUM(H11:I11)</f>
        <v>142676074</v>
      </c>
      <c r="H11" s="10">
        <f>SUM(H12:H30)</f>
        <v>67578830</v>
      </c>
      <c r="I11" s="10">
        <f>SUM(I12:I30)</f>
        <v>75097244</v>
      </c>
      <c r="J11" s="10">
        <f>SUM(J12:J30)</f>
        <v>75097244</v>
      </c>
    </row>
    <row r="12" spans="1:10" ht="33.75" x14ac:dyDescent="0.25">
      <c r="A12" s="95">
        <v>110180</v>
      </c>
      <c r="B12" s="96">
        <v>180</v>
      </c>
      <c r="C12" s="97">
        <v>133</v>
      </c>
      <c r="D12" s="98" t="s">
        <v>163</v>
      </c>
      <c r="E12" s="98" t="s">
        <v>350</v>
      </c>
      <c r="F12" s="99" t="s">
        <v>351</v>
      </c>
      <c r="G12" s="100">
        <f t="shared" ref="G12:G66" si="0">SUM(H12:I12)</f>
        <v>1100000</v>
      </c>
      <c r="H12" s="101">
        <v>1100000</v>
      </c>
      <c r="I12" s="101"/>
      <c r="J12" s="101"/>
    </row>
    <row r="13" spans="1:10" ht="45" x14ac:dyDescent="0.25">
      <c r="A13" s="95">
        <v>112111</v>
      </c>
      <c r="B13" s="102">
        <v>2111</v>
      </c>
      <c r="C13" s="97">
        <v>726</v>
      </c>
      <c r="D13" s="98" t="s">
        <v>39</v>
      </c>
      <c r="E13" s="98" t="s">
        <v>42</v>
      </c>
      <c r="F13" s="99" t="s">
        <v>43</v>
      </c>
      <c r="G13" s="100">
        <f t="shared" si="0"/>
        <v>2130000</v>
      </c>
      <c r="H13" s="101">
        <v>2130000</v>
      </c>
      <c r="I13" s="101"/>
      <c r="J13" s="101"/>
    </row>
    <row r="14" spans="1:10" ht="33.75" x14ac:dyDescent="0.25">
      <c r="A14" s="95">
        <v>112152</v>
      </c>
      <c r="B14" s="102">
        <v>2152</v>
      </c>
      <c r="C14" s="97">
        <v>763</v>
      </c>
      <c r="D14" s="98" t="s">
        <v>40</v>
      </c>
      <c r="E14" s="98" t="s">
        <v>42</v>
      </c>
      <c r="F14" s="99" t="s">
        <v>43</v>
      </c>
      <c r="G14" s="100">
        <f t="shared" si="0"/>
        <v>3603500</v>
      </c>
      <c r="H14" s="101">
        <v>3603500</v>
      </c>
      <c r="I14" s="101"/>
      <c r="J14" s="101"/>
    </row>
    <row r="15" spans="1:10" ht="33.75" x14ac:dyDescent="0.25">
      <c r="A15" s="103" t="s">
        <v>260</v>
      </c>
      <c r="B15" s="103" t="s">
        <v>259</v>
      </c>
      <c r="C15" s="103" t="s">
        <v>258</v>
      </c>
      <c r="D15" s="104" t="s">
        <v>257</v>
      </c>
      <c r="E15" s="98" t="s">
        <v>333</v>
      </c>
      <c r="F15" s="99" t="s">
        <v>41</v>
      </c>
      <c r="G15" s="100">
        <f t="shared" si="0"/>
        <v>10245200</v>
      </c>
      <c r="H15" s="101">
        <v>10245200</v>
      </c>
      <c r="I15" s="101"/>
      <c r="J15" s="101"/>
    </row>
    <row r="16" spans="1:10" ht="33.75" x14ac:dyDescent="0.25">
      <c r="A16" s="95">
        <v>112152</v>
      </c>
      <c r="B16" s="102">
        <v>2152</v>
      </c>
      <c r="C16" s="97">
        <v>763</v>
      </c>
      <c r="D16" s="98" t="s">
        <v>40</v>
      </c>
      <c r="E16" s="98" t="s">
        <v>333</v>
      </c>
      <c r="F16" s="99" t="s">
        <v>41</v>
      </c>
      <c r="G16" s="100">
        <f t="shared" si="0"/>
        <v>560000</v>
      </c>
      <c r="H16" s="101">
        <v>560000</v>
      </c>
      <c r="I16" s="101"/>
      <c r="J16" s="101"/>
    </row>
    <row r="17" spans="1:10" ht="45" x14ac:dyDescent="0.25">
      <c r="A17" s="174" t="s">
        <v>385</v>
      </c>
      <c r="B17" s="174" t="s">
        <v>408</v>
      </c>
      <c r="C17" s="174" t="s">
        <v>175</v>
      </c>
      <c r="D17" s="175" t="s">
        <v>407</v>
      </c>
      <c r="E17" s="98" t="s">
        <v>333</v>
      </c>
      <c r="F17" s="99" t="s">
        <v>41</v>
      </c>
      <c r="G17" s="100">
        <f t="shared" si="0"/>
        <v>3904350</v>
      </c>
      <c r="H17" s="101"/>
      <c r="I17" s="101">
        <v>3904350</v>
      </c>
      <c r="J17" s="101">
        <v>3904350</v>
      </c>
    </row>
    <row r="18" spans="1:10" ht="33.75" x14ac:dyDescent="0.25">
      <c r="A18" s="174" t="s">
        <v>181</v>
      </c>
      <c r="B18" s="174">
        <v>3090</v>
      </c>
      <c r="C18" s="174">
        <v>1030</v>
      </c>
      <c r="D18" s="176" t="s">
        <v>182</v>
      </c>
      <c r="E18" s="104" t="s">
        <v>346</v>
      </c>
      <c r="F18" s="99" t="s">
        <v>347</v>
      </c>
      <c r="G18" s="100">
        <f t="shared" si="0"/>
        <v>500000</v>
      </c>
      <c r="H18" s="101">
        <v>500000</v>
      </c>
      <c r="I18" s="101"/>
      <c r="J18" s="101"/>
    </row>
    <row r="19" spans="1:10" ht="33.75" x14ac:dyDescent="0.25">
      <c r="A19" s="103" t="s">
        <v>23</v>
      </c>
      <c r="B19" s="103">
        <v>3242</v>
      </c>
      <c r="C19" s="103">
        <v>1090</v>
      </c>
      <c r="D19" s="104" t="s">
        <v>14</v>
      </c>
      <c r="E19" s="104" t="s">
        <v>346</v>
      </c>
      <c r="F19" s="99" t="s">
        <v>347</v>
      </c>
      <c r="G19" s="100">
        <f t="shared" si="0"/>
        <v>8267000</v>
      </c>
      <c r="H19" s="101">
        <v>8267000</v>
      </c>
      <c r="I19" s="101"/>
      <c r="J19" s="101"/>
    </row>
    <row r="20" spans="1:10" ht="99.75" customHeight="1" x14ac:dyDescent="0.25">
      <c r="A20" s="95">
        <v>113242</v>
      </c>
      <c r="B20" s="102">
        <v>3242</v>
      </c>
      <c r="C20" s="105">
        <v>1090</v>
      </c>
      <c r="D20" s="98" t="s">
        <v>44</v>
      </c>
      <c r="E20" s="98" t="s">
        <v>45</v>
      </c>
      <c r="F20" s="99" t="s">
        <v>46</v>
      </c>
      <c r="G20" s="100">
        <f t="shared" si="0"/>
        <v>800000</v>
      </c>
      <c r="H20" s="101">
        <v>800000</v>
      </c>
      <c r="I20" s="101"/>
      <c r="J20" s="101"/>
    </row>
    <row r="21" spans="1:10" ht="45" x14ac:dyDescent="0.25">
      <c r="A21" s="95">
        <v>117350</v>
      </c>
      <c r="B21" s="102">
        <v>7350</v>
      </c>
      <c r="C21" s="97">
        <v>443</v>
      </c>
      <c r="D21" s="154" t="s">
        <v>190</v>
      </c>
      <c r="E21" s="104" t="s">
        <v>48</v>
      </c>
      <c r="F21" s="99" t="s">
        <v>49</v>
      </c>
      <c r="G21" s="100">
        <f t="shared" ref="G21" si="1">SUM(H21:I21)</f>
        <v>500000</v>
      </c>
      <c r="H21" s="101">
        <v>500000</v>
      </c>
      <c r="I21" s="101"/>
      <c r="J21" s="101"/>
    </row>
    <row r="22" spans="1:10" ht="45" x14ac:dyDescent="0.25">
      <c r="A22" s="103" t="s">
        <v>24</v>
      </c>
      <c r="B22" s="103">
        <v>7370</v>
      </c>
      <c r="C22" s="103" t="s">
        <v>188</v>
      </c>
      <c r="D22" s="104" t="s">
        <v>15</v>
      </c>
      <c r="E22" s="104" t="s">
        <v>311</v>
      </c>
      <c r="F22" s="99" t="s">
        <v>312</v>
      </c>
      <c r="G22" s="100">
        <f t="shared" si="0"/>
        <v>1230000</v>
      </c>
      <c r="H22" s="101">
        <v>1230000</v>
      </c>
      <c r="I22" s="101"/>
      <c r="J22" s="101"/>
    </row>
    <row r="23" spans="1:10" ht="33.75" x14ac:dyDescent="0.25">
      <c r="A23" s="103" t="s">
        <v>24</v>
      </c>
      <c r="B23" s="103">
        <v>7370</v>
      </c>
      <c r="C23" s="103" t="s">
        <v>188</v>
      </c>
      <c r="D23" s="104" t="s">
        <v>15</v>
      </c>
      <c r="E23" s="104" t="s">
        <v>352</v>
      </c>
      <c r="F23" s="99" t="s">
        <v>353</v>
      </c>
      <c r="G23" s="100">
        <f t="shared" si="0"/>
        <v>360000</v>
      </c>
      <c r="H23" s="101">
        <v>360000</v>
      </c>
      <c r="I23" s="101"/>
      <c r="J23" s="101"/>
    </row>
    <row r="24" spans="1:10" ht="45" x14ac:dyDescent="0.25">
      <c r="A24" s="103" t="s">
        <v>24</v>
      </c>
      <c r="B24" s="103">
        <v>7370</v>
      </c>
      <c r="C24" s="103" t="s">
        <v>188</v>
      </c>
      <c r="D24" s="104" t="s">
        <v>15</v>
      </c>
      <c r="E24" s="104" t="s">
        <v>354</v>
      </c>
      <c r="F24" s="99" t="s">
        <v>355</v>
      </c>
      <c r="G24" s="100">
        <f t="shared" si="0"/>
        <v>18690630</v>
      </c>
      <c r="H24" s="101">
        <f>2550000+1440630+14700000</f>
        <v>18690630</v>
      </c>
      <c r="I24" s="101"/>
      <c r="J24" s="101"/>
    </row>
    <row r="25" spans="1:10" ht="56.25" x14ac:dyDescent="0.25">
      <c r="A25" s="174" t="s">
        <v>384</v>
      </c>
      <c r="B25" s="174" t="s">
        <v>409</v>
      </c>
      <c r="C25" s="174" t="s">
        <v>175</v>
      </c>
      <c r="D25" s="175" t="s">
        <v>406</v>
      </c>
      <c r="E25" s="104" t="s">
        <v>354</v>
      </c>
      <c r="F25" s="99" t="s">
        <v>355</v>
      </c>
      <c r="G25" s="100">
        <f t="shared" si="0"/>
        <v>71192894</v>
      </c>
      <c r="H25" s="101"/>
      <c r="I25" s="101">
        <v>71192894</v>
      </c>
      <c r="J25" s="101">
        <v>71192894</v>
      </c>
    </row>
    <row r="26" spans="1:10" ht="33.75" x14ac:dyDescent="0.25">
      <c r="A26" s="103" t="s">
        <v>24</v>
      </c>
      <c r="B26" s="103">
        <v>7370</v>
      </c>
      <c r="C26" s="103" t="s">
        <v>188</v>
      </c>
      <c r="D26" s="104" t="s">
        <v>15</v>
      </c>
      <c r="E26" s="104" t="s">
        <v>342</v>
      </c>
      <c r="F26" s="99" t="s">
        <v>343</v>
      </c>
      <c r="G26" s="100">
        <f t="shared" si="0"/>
        <v>1810000</v>
      </c>
      <c r="H26" s="101">
        <f>1810000</f>
        <v>1810000</v>
      </c>
      <c r="I26" s="101"/>
      <c r="J26" s="101"/>
    </row>
    <row r="27" spans="1:10" ht="33.75" x14ac:dyDescent="0.25">
      <c r="A27" s="95">
        <v>117370</v>
      </c>
      <c r="B27" s="102">
        <v>7370</v>
      </c>
      <c r="C27" s="97">
        <v>490</v>
      </c>
      <c r="D27" s="98" t="s">
        <v>15</v>
      </c>
      <c r="E27" s="98" t="s">
        <v>47</v>
      </c>
      <c r="F27" s="99" t="s">
        <v>30</v>
      </c>
      <c r="G27" s="100">
        <f t="shared" si="0"/>
        <v>10650000</v>
      </c>
      <c r="H27" s="106">
        <v>10650000</v>
      </c>
      <c r="I27" s="101"/>
      <c r="J27" s="101"/>
    </row>
    <row r="28" spans="1:10" ht="33.75" x14ac:dyDescent="0.25">
      <c r="A28" s="95">
        <v>117370</v>
      </c>
      <c r="B28" s="102">
        <v>7370</v>
      </c>
      <c r="C28" s="97">
        <v>490</v>
      </c>
      <c r="D28" s="98" t="s">
        <v>15</v>
      </c>
      <c r="E28" s="98" t="s">
        <v>298</v>
      </c>
      <c r="F28" s="99" t="s">
        <v>299</v>
      </c>
      <c r="G28" s="100">
        <f t="shared" si="0"/>
        <v>887500</v>
      </c>
      <c r="H28" s="101">
        <v>887500</v>
      </c>
      <c r="I28" s="101"/>
      <c r="J28" s="101"/>
    </row>
    <row r="29" spans="1:10" ht="45" x14ac:dyDescent="0.25">
      <c r="A29" s="107">
        <v>117640</v>
      </c>
      <c r="B29" s="108">
        <v>7640</v>
      </c>
      <c r="C29" s="109">
        <v>470</v>
      </c>
      <c r="D29" s="98" t="s">
        <v>266</v>
      </c>
      <c r="E29" s="98" t="s">
        <v>291</v>
      </c>
      <c r="F29" s="99" t="s">
        <v>292</v>
      </c>
      <c r="G29" s="100">
        <f t="shared" si="0"/>
        <v>4845000</v>
      </c>
      <c r="H29" s="101">
        <v>4845000</v>
      </c>
      <c r="I29" s="101"/>
      <c r="J29" s="101"/>
    </row>
    <row r="30" spans="1:10" ht="22.5" x14ac:dyDescent="0.25">
      <c r="A30" s="95">
        <v>117693</v>
      </c>
      <c r="B30" s="102">
        <v>7693</v>
      </c>
      <c r="C30" s="97">
        <v>490</v>
      </c>
      <c r="D30" s="98" t="s">
        <v>190</v>
      </c>
      <c r="E30" s="104" t="s">
        <v>348</v>
      </c>
      <c r="F30" s="99" t="s">
        <v>349</v>
      </c>
      <c r="G30" s="100">
        <f t="shared" si="0"/>
        <v>1400000</v>
      </c>
      <c r="H30" s="101">
        <v>1400000</v>
      </c>
      <c r="I30" s="101"/>
      <c r="J30" s="101"/>
    </row>
    <row r="31" spans="1:10" ht="33.75" x14ac:dyDescent="0.25">
      <c r="A31" s="174" t="s">
        <v>383</v>
      </c>
      <c r="B31" s="174" t="s">
        <v>401</v>
      </c>
      <c r="C31" s="174" t="s">
        <v>402</v>
      </c>
      <c r="D31" s="177" t="s">
        <v>403</v>
      </c>
      <c r="E31" s="104" t="s">
        <v>404</v>
      </c>
      <c r="F31" s="99" t="s">
        <v>405</v>
      </c>
      <c r="G31" s="100">
        <f t="shared" si="0"/>
        <v>510000</v>
      </c>
      <c r="H31" s="101">
        <v>510000</v>
      </c>
      <c r="I31" s="101"/>
      <c r="J31" s="101"/>
    </row>
    <row r="32" spans="1:10" x14ac:dyDescent="0.25">
      <c r="A32" s="110" t="s">
        <v>191</v>
      </c>
      <c r="B32" s="110"/>
      <c r="C32" s="110"/>
      <c r="D32" s="111" t="s">
        <v>16</v>
      </c>
      <c r="E32" s="111"/>
      <c r="F32" s="112"/>
      <c r="G32" s="100">
        <f t="shared" si="0"/>
        <v>1222000</v>
      </c>
      <c r="H32" s="100">
        <f>SUM(H33)</f>
        <v>1222000</v>
      </c>
      <c r="I32" s="100">
        <f t="shared" ref="I32:J32" si="2">SUM(I33)</f>
        <v>0</v>
      </c>
      <c r="J32" s="100">
        <f t="shared" si="2"/>
        <v>0</v>
      </c>
    </row>
    <row r="33" spans="1:10" ht="33.75" x14ac:dyDescent="0.25">
      <c r="A33" s="113" t="s">
        <v>210</v>
      </c>
      <c r="B33" s="102">
        <v>1142</v>
      </c>
      <c r="C33" s="97">
        <v>990</v>
      </c>
      <c r="D33" s="98" t="s">
        <v>211</v>
      </c>
      <c r="E33" s="104" t="s">
        <v>295</v>
      </c>
      <c r="F33" s="99" t="s">
        <v>296</v>
      </c>
      <c r="G33" s="100">
        <f t="shared" si="0"/>
        <v>1222000</v>
      </c>
      <c r="H33" s="101">
        <v>1222000</v>
      </c>
      <c r="I33" s="101"/>
      <c r="J33" s="101"/>
    </row>
    <row r="34" spans="1:10" x14ac:dyDescent="0.25">
      <c r="A34" s="114" t="s">
        <v>212</v>
      </c>
      <c r="B34" s="110"/>
      <c r="C34" s="115"/>
      <c r="D34" s="116" t="s">
        <v>17</v>
      </c>
      <c r="E34" s="116"/>
      <c r="F34" s="116"/>
      <c r="G34" s="100">
        <f t="shared" si="0"/>
        <v>2218115</v>
      </c>
      <c r="H34" s="117">
        <f>SUM(H35:H37)</f>
        <v>2218115</v>
      </c>
      <c r="I34" s="117">
        <f t="shared" ref="I34:J34" si="3">SUM(I35:I37)</f>
        <v>0</v>
      </c>
      <c r="J34" s="117">
        <f t="shared" si="3"/>
        <v>0</v>
      </c>
    </row>
    <row r="35" spans="1:10" ht="45" x14ac:dyDescent="0.25">
      <c r="A35" s="95">
        <v>913112</v>
      </c>
      <c r="B35" s="102">
        <v>3112</v>
      </c>
      <c r="C35" s="105">
        <v>1040</v>
      </c>
      <c r="D35" s="98" t="s">
        <v>25</v>
      </c>
      <c r="E35" s="98" t="s">
        <v>35</v>
      </c>
      <c r="F35" s="99" t="s">
        <v>36</v>
      </c>
      <c r="G35" s="100">
        <f t="shared" si="0"/>
        <v>1097070</v>
      </c>
      <c r="H35" s="101">
        <v>1097070</v>
      </c>
      <c r="I35" s="101"/>
      <c r="J35" s="101"/>
    </row>
    <row r="36" spans="1:10" ht="90" x14ac:dyDescent="0.25">
      <c r="A36" s="95">
        <v>913112</v>
      </c>
      <c r="B36" s="102">
        <v>3112</v>
      </c>
      <c r="C36" s="105">
        <v>1040</v>
      </c>
      <c r="D36" s="98" t="s">
        <v>25</v>
      </c>
      <c r="E36" s="98" t="s">
        <v>32</v>
      </c>
      <c r="F36" s="99" t="s">
        <v>31</v>
      </c>
      <c r="G36" s="100">
        <f t="shared" si="0"/>
        <v>100000</v>
      </c>
      <c r="H36" s="101">
        <v>100000</v>
      </c>
      <c r="I36" s="101"/>
      <c r="J36" s="101"/>
    </row>
    <row r="37" spans="1:10" ht="45" x14ac:dyDescent="0.25">
      <c r="A37" s="95">
        <v>913133</v>
      </c>
      <c r="B37" s="102">
        <v>3133</v>
      </c>
      <c r="C37" s="105">
        <v>1040</v>
      </c>
      <c r="D37" s="98" t="s">
        <v>26</v>
      </c>
      <c r="E37" s="98" t="s">
        <v>38</v>
      </c>
      <c r="F37" s="99" t="s">
        <v>37</v>
      </c>
      <c r="G37" s="100">
        <f t="shared" si="0"/>
        <v>1021045</v>
      </c>
      <c r="H37" s="101">
        <v>1021045</v>
      </c>
      <c r="I37" s="101"/>
      <c r="J37" s="101"/>
    </row>
    <row r="38" spans="1:10" x14ac:dyDescent="0.25">
      <c r="A38" s="110">
        <v>10</v>
      </c>
      <c r="B38" s="110"/>
      <c r="C38" s="110"/>
      <c r="D38" s="111" t="s">
        <v>18</v>
      </c>
      <c r="E38" s="111"/>
      <c r="F38" s="112"/>
      <c r="G38" s="100">
        <f t="shared" si="0"/>
        <v>919900</v>
      </c>
      <c r="H38" s="100">
        <f>SUM(H39:H40)</f>
        <v>919900</v>
      </c>
      <c r="I38" s="100">
        <f t="shared" ref="I38:J38" si="4">SUM(I39:I40)</f>
        <v>0</v>
      </c>
      <c r="J38" s="100">
        <f t="shared" si="4"/>
        <v>0</v>
      </c>
    </row>
    <row r="39" spans="1:10" ht="33.75" x14ac:dyDescent="0.25">
      <c r="A39" s="118">
        <v>1014082</v>
      </c>
      <c r="B39" s="102">
        <v>4082</v>
      </c>
      <c r="C39" s="97">
        <v>829</v>
      </c>
      <c r="D39" s="98" t="s">
        <v>224</v>
      </c>
      <c r="E39" s="98" t="s">
        <v>316</v>
      </c>
      <c r="F39" s="99" t="s">
        <v>294</v>
      </c>
      <c r="G39" s="100">
        <f t="shared" si="0"/>
        <v>820000</v>
      </c>
      <c r="H39" s="101">
        <v>820000</v>
      </c>
      <c r="I39" s="101"/>
      <c r="J39" s="101"/>
    </row>
    <row r="40" spans="1:10" ht="33.75" x14ac:dyDescent="0.25">
      <c r="A40" s="95">
        <v>1017370</v>
      </c>
      <c r="B40" s="102">
        <v>7370</v>
      </c>
      <c r="C40" s="97">
        <v>490</v>
      </c>
      <c r="D40" s="98" t="s">
        <v>15</v>
      </c>
      <c r="E40" s="104" t="s">
        <v>368</v>
      </c>
      <c r="F40" s="99" t="s">
        <v>369</v>
      </c>
      <c r="G40" s="100">
        <f t="shared" si="0"/>
        <v>99900</v>
      </c>
      <c r="H40" s="101">
        <v>99900</v>
      </c>
      <c r="I40" s="101"/>
      <c r="J40" s="101"/>
    </row>
    <row r="41" spans="1:10" ht="17.45" customHeight="1" x14ac:dyDescent="0.25">
      <c r="A41" s="110">
        <v>11</v>
      </c>
      <c r="B41" s="110"/>
      <c r="C41" s="110"/>
      <c r="D41" s="111" t="s">
        <v>19</v>
      </c>
      <c r="E41" s="111"/>
      <c r="F41" s="112"/>
      <c r="G41" s="100">
        <f t="shared" si="0"/>
        <v>4473688</v>
      </c>
      <c r="H41" s="100">
        <f>SUM(H42:H44)</f>
        <v>4473688</v>
      </c>
      <c r="I41" s="100">
        <f t="shared" ref="I41:J41" si="5">SUM(I42:I44)</f>
        <v>0</v>
      </c>
      <c r="J41" s="100">
        <f t="shared" si="5"/>
        <v>0</v>
      </c>
    </row>
    <row r="42" spans="1:10" ht="22.5" x14ac:dyDescent="0.25">
      <c r="A42" s="118">
        <v>1113133</v>
      </c>
      <c r="B42" s="102">
        <v>3133</v>
      </c>
      <c r="C42" s="105">
        <v>1040</v>
      </c>
      <c r="D42" s="98" t="s">
        <v>26</v>
      </c>
      <c r="E42" s="98" t="s">
        <v>33</v>
      </c>
      <c r="F42" s="99" t="s">
        <v>34</v>
      </c>
      <c r="G42" s="100">
        <f t="shared" si="0"/>
        <v>591500</v>
      </c>
      <c r="H42" s="101">
        <v>591500</v>
      </c>
      <c r="I42" s="101"/>
      <c r="J42" s="101"/>
    </row>
    <row r="43" spans="1:10" ht="56.25" x14ac:dyDescent="0.25">
      <c r="A43" s="118">
        <v>1115061</v>
      </c>
      <c r="B43" s="102">
        <v>5061</v>
      </c>
      <c r="C43" s="97">
        <v>810</v>
      </c>
      <c r="D43" s="98" t="s">
        <v>27</v>
      </c>
      <c r="E43" s="98" t="s">
        <v>315</v>
      </c>
      <c r="F43" s="99" t="s">
        <v>29</v>
      </c>
      <c r="G43" s="100">
        <f t="shared" si="0"/>
        <v>1570988</v>
      </c>
      <c r="H43" s="101">
        <v>1570988</v>
      </c>
      <c r="I43" s="101"/>
      <c r="J43" s="101"/>
    </row>
    <row r="44" spans="1:10" ht="40.15" customHeight="1" x14ac:dyDescent="0.25">
      <c r="A44" s="118">
        <v>1115062</v>
      </c>
      <c r="B44" s="102">
        <v>5062</v>
      </c>
      <c r="C44" s="97">
        <v>810</v>
      </c>
      <c r="D44" s="98" t="s">
        <v>28</v>
      </c>
      <c r="E44" s="98" t="s">
        <v>289</v>
      </c>
      <c r="F44" s="99" t="s">
        <v>290</v>
      </c>
      <c r="G44" s="100">
        <f t="shared" si="0"/>
        <v>2311200</v>
      </c>
      <c r="H44" s="101">
        <v>2311200</v>
      </c>
      <c r="I44" s="101"/>
      <c r="J44" s="101"/>
    </row>
    <row r="45" spans="1:10" ht="25.15" customHeight="1" x14ac:dyDescent="0.25">
      <c r="A45" s="110">
        <v>12</v>
      </c>
      <c r="B45" s="110"/>
      <c r="C45" s="110"/>
      <c r="D45" s="111" t="s">
        <v>20</v>
      </c>
      <c r="E45" s="111"/>
      <c r="F45" s="112"/>
      <c r="G45" s="100">
        <f t="shared" si="0"/>
        <v>76116300</v>
      </c>
      <c r="H45" s="100">
        <f>SUM(H46:H57)</f>
        <v>30823800</v>
      </c>
      <c r="I45" s="100">
        <f>SUM(I46:I57)</f>
        <v>45292500</v>
      </c>
      <c r="J45" s="100">
        <f>SUM(J46:J57)</f>
        <v>45292500</v>
      </c>
    </row>
    <row r="46" spans="1:10" ht="22.9" customHeight="1" x14ac:dyDescent="0.25">
      <c r="A46" s="119">
        <v>1216013</v>
      </c>
      <c r="B46" s="109">
        <v>6013</v>
      </c>
      <c r="C46" s="109">
        <v>620</v>
      </c>
      <c r="D46" s="98" t="s">
        <v>287</v>
      </c>
      <c r="E46" s="220" t="s">
        <v>302</v>
      </c>
      <c r="F46" s="223" t="s">
        <v>288</v>
      </c>
      <c r="G46" s="100">
        <f t="shared" si="0"/>
        <v>5480000</v>
      </c>
      <c r="H46" s="120">
        <v>5480000</v>
      </c>
      <c r="I46" s="120"/>
      <c r="J46" s="120"/>
    </row>
    <row r="47" spans="1:10" ht="22.9" customHeight="1" x14ac:dyDescent="0.25">
      <c r="A47" s="119">
        <v>1216040</v>
      </c>
      <c r="B47" s="109">
        <v>6040</v>
      </c>
      <c r="C47" s="109">
        <v>620</v>
      </c>
      <c r="D47" s="98" t="s">
        <v>308</v>
      </c>
      <c r="E47" s="221"/>
      <c r="F47" s="224"/>
      <c r="G47" s="100">
        <f t="shared" si="0"/>
        <v>1796700</v>
      </c>
      <c r="H47" s="120">
        <v>1796700</v>
      </c>
      <c r="I47" s="120"/>
      <c r="J47" s="120"/>
    </row>
    <row r="48" spans="1:10" ht="56.25" x14ac:dyDescent="0.25">
      <c r="A48" s="178">
        <v>1216091</v>
      </c>
      <c r="B48" s="178">
        <v>6091</v>
      </c>
      <c r="C48" s="182" t="s">
        <v>226</v>
      </c>
      <c r="D48" s="177" t="s">
        <v>366</v>
      </c>
      <c r="E48" s="222"/>
      <c r="F48" s="225"/>
      <c r="G48" s="100">
        <f t="shared" si="0"/>
        <v>2659500</v>
      </c>
      <c r="H48" s="120"/>
      <c r="I48" s="120">
        <v>2659500</v>
      </c>
      <c r="J48" s="120">
        <v>2659500</v>
      </c>
    </row>
    <row r="49" spans="1:12" ht="45" x14ac:dyDescent="0.25">
      <c r="A49" s="118">
        <v>1217670</v>
      </c>
      <c r="B49" s="102">
        <v>7670</v>
      </c>
      <c r="C49" s="97">
        <v>490</v>
      </c>
      <c r="D49" s="98" t="s">
        <v>309</v>
      </c>
      <c r="E49" s="155" t="s">
        <v>310</v>
      </c>
      <c r="F49" s="156" t="s">
        <v>288</v>
      </c>
      <c r="G49" s="100">
        <f t="shared" si="0"/>
        <v>5000000</v>
      </c>
      <c r="H49" s="120">
        <v>5000000</v>
      </c>
      <c r="I49" s="120"/>
      <c r="J49" s="120"/>
    </row>
    <row r="50" spans="1:12" ht="90" x14ac:dyDescent="0.25">
      <c r="A50" s="118">
        <v>1216071</v>
      </c>
      <c r="B50" s="102">
        <v>6071</v>
      </c>
      <c r="C50" s="97">
        <v>640</v>
      </c>
      <c r="D50" s="98" t="s">
        <v>50</v>
      </c>
      <c r="E50" s="98" t="s">
        <v>51</v>
      </c>
      <c r="F50" s="99" t="s">
        <v>52</v>
      </c>
      <c r="G50" s="100">
        <f t="shared" si="0"/>
        <v>4900000</v>
      </c>
      <c r="H50" s="101">
        <v>4900000</v>
      </c>
      <c r="I50" s="101"/>
      <c r="J50" s="101"/>
    </row>
    <row r="51" spans="1:12" ht="56.25" x14ac:dyDescent="0.25">
      <c r="A51" s="178">
        <v>1211300</v>
      </c>
      <c r="B51" s="178">
        <v>1300</v>
      </c>
      <c r="C51" s="97">
        <v>990</v>
      </c>
      <c r="D51" s="177" t="s">
        <v>424</v>
      </c>
      <c r="E51" s="98" t="s">
        <v>291</v>
      </c>
      <c r="F51" s="99" t="s">
        <v>319</v>
      </c>
      <c r="G51" s="100">
        <f t="shared" si="0"/>
        <v>42633000</v>
      </c>
      <c r="H51" s="101"/>
      <c r="I51" s="101">
        <f>42633000</f>
        <v>42633000</v>
      </c>
      <c r="J51" s="101">
        <f>42633000</f>
        <v>42633000</v>
      </c>
    </row>
    <row r="52" spans="1:12" ht="67.5" x14ac:dyDescent="0.25">
      <c r="A52" s="113" t="s">
        <v>306</v>
      </c>
      <c r="B52" s="113" t="s">
        <v>157</v>
      </c>
      <c r="C52" s="113" t="s">
        <v>158</v>
      </c>
      <c r="D52" s="104" t="s">
        <v>159</v>
      </c>
      <c r="E52" s="220" t="s">
        <v>300</v>
      </c>
      <c r="F52" s="223" t="s">
        <v>301</v>
      </c>
      <c r="G52" s="100">
        <f t="shared" si="0"/>
        <v>4157000</v>
      </c>
      <c r="H52" s="101">
        <v>4157000</v>
      </c>
      <c r="I52" s="101"/>
      <c r="J52" s="101"/>
    </row>
    <row r="53" spans="1:12" ht="22.5" x14ac:dyDescent="0.25">
      <c r="A53" s="113" t="s">
        <v>307</v>
      </c>
      <c r="B53" s="103">
        <v>1010</v>
      </c>
      <c r="C53" s="103" t="s">
        <v>196</v>
      </c>
      <c r="D53" s="104" t="s">
        <v>197</v>
      </c>
      <c r="E53" s="221"/>
      <c r="F53" s="224"/>
      <c r="G53" s="100">
        <f t="shared" si="0"/>
        <v>650000</v>
      </c>
      <c r="H53" s="101">
        <v>650000</v>
      </c>
      <c r="I53" s="101"/>
      <c r="J53" s="101"/>
    </row>
    <row r="54" spans="1:12" ht="33.75" x14ac:dyDescent="0.25">
      <c r="A54" s="178">
        <v>1211021</v>
      </c>
      <c r="B54" s="178">
        <v>1021</v>
      </c>
      <c r="C54" s="103" t="s">
        <v>199</v>
      </c>
      <c r="D54" s="177" t="s">
        <v>243</v>
      </c>
      <c r="E54" s="221"/>
      <c r="F54" s="224"/>
      <c r="G54" s="100">
        <f t="shared" si="0"/>
        <v>500000</v>
      </c>
      <c r="H54" s="101">
        <v>500000</v>
      </c>
      <c r="I54" s="101"/>
      <c r="J54" s="101"/>
    </row>
    <row r="55" spans="1:12" ht="22.5" x14ac:dyDescent="0.25">
      <c r="A55" s="179" t="s">
        <v>314</v>
      </c>
      <c r="B55" s="179">
        <v>1080</v>
      </c>
      <c r="C55" s="179" t="s">
        <v>206</v>
      </c>
      <c r="D55" s="176" t="s">
        <v>216</v>
      </c>
      <c r="E55" s="221"/>
      <c r="F55" s="224"/>
      <c r="G55" s="100">
        <f t="shared" si="0"/>
        <v>4000000</v>
      </c>
      <c r="H55" s="101">
        <v>4000000</v>
      </c>
      <c r="I55" s="101"/>
      <c r="J55" s="101"/>
    </row>
    <row r="56" spans="1:12" ht="33.75" x14ac:dyDescent="0.25">
      <c r="A56" s="103" t="s">
        <v>313</v>
      </c>
      <c r="B56" s="103">
        <v>4060</v>
      </c>
      <c r="C56" s="103" t="s">
        <v>220</v>
      </c>
      <c r="D56" s="104" t="s">
        <v>221</v>
      </c>
      <c r="E56" s="221"/>
      <c r="F56" s="224"/>
      <c r="G56" s="100">
        <f t="shared" si="0"/>
        <v>818300</v>
      </c>
      <c r="H56" s="101">
        <v>818300</v>
      </c>
      <c r="I56" s="101"/>
      <c r="J56" s="101"/>
    </row>
    <row r="57" spans="1:12" ht="22.9" customHeight="1" x14ac:dyDescent="0.25">
      <c r="A57" s="118">
        <v>1216090</v>
      </c>
      <c r="B57" s="102">
        <v>6090</v>
      </c>
      <c r="C57" s="97">
        <v>640</v>
      </c>
      <c r="D57" s="98" t="s">
        <v>227</v>
      </c>
      <c r="E57" s="222"/>
      <c r="F57" s="225"/>
      <c r="G57" s="100">
        <f t="shared" si="0"/>
        <v>3521800</v>
      </c>
      <c r="H57" s="101">
        <v>3521800</v>
      </c>
      <c r="I57" s="101"/>
      <c r="J57" s="101"/>
    </row>
    <row r="58" spans="1:12" x14ac:dyDescent="0.25">
      <c r="A58" s="114">
        <v>14</v>
      </c>
      <c r="B58" s="115"/>
      <c r="C58" s="115"/>
      <c r="D58" s="116" t="s">
        <v>21</v>
      </c>
      <c r="E58" s="116"/>
      <c r="F58" s="116"/>
      <c r="G58" s="100">
        <f t="shared" si="0"/>
        <v>68977200</v>
      </c>
      <c r="H58" s="117">
        <f>SUM(H59:H66)</f>
        <v>63251900</v>
      </c>
      <c r="I58" s="117">
        <f>SUM(I59:I66)</f>
        <v>5725300</v>
      </c>
      <c r="J58" s="117">
        <f>SUM(J59:J66)</f>
        <v>5200000</v>
      </c>
    </row>
    <row r="59" spans="1:12" ht="22.5" x14ac:dyDescent="0.25">
      <c r="A59" s="118">
        <v>1416030</v>
      </c>
      <c r="B59" s="102">
        <v>6030</v>
      </c>
      <c r="C59" s="97">
        <v>620</v>
      </c>
      <c r="D59" s="98" t="s">
        <v>230</v>
      </c>
      <c r="E59" s="104" t="s">
        <v>317</v>
      </c>
      <c r="F59" s="99" t="s">
        <v>293</v>
      </c>
      <c r="G59" s="100">
        <f t="shared" si="0"/>
        <v>52394900</v>
      </c>
      <c r="H59" s="101">
        <v>52394900</v>
      </c>
      <c r="I59" s="101"/>
      <c r="J59" s="101"/>
    </row>
    <row r="60" spans="1:12" ht="22.5" x14ac:dyDescent="0.25">
      <c r="A60" s="118">
        <v>1416030</v>
      </c>
      <c r="B60" s="102">
        <v>6030</v>
      </c>
      <c r="C60" s="97">
        <v>620</v>
      </c>
      <c r="D60" s="98" t="s">
        <v>230</v>
      </c>
      <c r="E60" s="104" t="s">
        <v>344</v>
      </c>
      <c r="F60" s="99" t="s">
        <v>345</v>
      </c>
      <c r="G60" s="100">
        <f t="shared" si="0"/>
        <v>3107000</v>
      </c>
      <c r="H60" s="101">
        <v>3107000</v>
      </c>
      <c r="I60" s="101"/>
      <c r="J60" s="101"/>
      <c r="L60" s="63"/>
    </row>
    <row r="61" spans="1:12" ht="33.75" x14ac:dyDescent="0.25">
      <c r="A61" s="103" t="s">
        <v>370</v>
      </c>
      <c r="B61" s="103">
        <v>7370</v>
      </c>
      <c r="C61" s="103" t="s">
        <v>188</v>
      </c>
      <c r="D61" s="104" t="s">
        <v>15</v>
      </c>
      <c r="E61" s="104" t="s">
        <v>352</v>
      </c>
      <c r="F61" s="99" t="s">
        <v>353</v>
      </c>
      <c r="G61" s="100">
        <f t="shared" si="0"/>
        <v>200000</v>
      </c>
      <c r="H61" s="101">
        <v>200000</v>
      </c>
      <c r="I61" s="101"/>
      <c r="J61" s="101"/>
      <c r="L61" s="63"/>
    </row>
    <row r="62" spans="1:12" ht="45" x14ac:dyDescent="0.25">
      <c r="A62" s="103" t="s">
        <v>370</v>
      </c>
      <c r="B62" s="103">
        <v>7370</v>
      </c>
      <c r="C62" s="103" t="s">
        <v>188</v>
      </c>
      <c r="D62" s="104" t="s">
        <v>15</v>
      </c>
      <c r="E62" s="104" t="s">
        <v>359</v>
      </c>
      <c r="F62" s="99" t="s">
        <v>360</v>
      </c>
      <c r="G62" s="100">
        <f t="shared" si="0"/>
        <v>500000</v>
      </c>
      <c r="H62" s="101">
        <v>500000</v>
      </c>
      <c r="I62" s="101"/>
      <c r="J62" s="101"/>
      <c r="L62" s="63"/>
    </row>
    <row r="63" spans="1:12" ht="56.25" x14ac:dyDescent="0.25">
      <c r="A63" s="119">
        <v>1417461</v>
      </c>
      <c r="B63" s="108">
        <v>7461</v>
      </c>
      <c r="C63" s="109">
        <v>456</v>
      </c>
      <c r="D63" s="180" t="s">
        <v>356</v>
      </c>
      <c r="E63" s="104" t="s">
        <v>357</v>
      </c>
      <c r="F63" s="99" t="s">
        <v>358</v>
      </c>
      <c r="G63" s="100">
        <f t="shared" si="0"/>
        <v>6500000</v>
      </c>
      <c r="H63" s="101">
        <v>6500000</v>
      </c>
      <c r="I63" s="101"/>
      <c r="J63" s="101"/>
      <c r="L63" s="63"/>
    </row>
    <row r="64" spans="1:12" ht="56.25" x14ac:dyDescent="0.25">
      <c r="A64" s="179" t="s">
        <v>367</v>
      </c>
      <c r="B64" s="179" t="s">
        <v>365</v>
      </c>
      <c r="C64" s="179" t="s">
        <v>226</v>
      </c>
      <c r="D64" s="176" t="s">
        <v>366</v>
      </c>
      <c r="E64" s="223" t="s">
        <v>318</v>
      </c>
      <c r="F64" s="223" t="s">
        <v>297</v>
      </c>
      <c r="G64" s="100">
        <f t="shared" si="0"/>
        <v>5200000</v>
      </c>
      <c r="H64" s="101"/>
      <c r="I64" s="101">
        <v>5200000</v>
      </c>
      <c r="J64" s="101">
        <v>5200000</v>
      </c>
      <c r="L64" s="63"/>
    </row>
    <row r="65" spans="1:12" ht="24.75" x14ac:dyDescent="0.25">
      <c r="A65" s="95">
        <v>1418311</v>
      </c>
      <c r="B65" s="102">
        <v>8311</v>
      </c>
      <c r="C65" s="97">
        <v>511</v>
      </c>
      <c r="D65" s="181" t="s">
        <v>432</v>
      </c>
      <c r="E65" s="224"/>
      <c r="F65" s="224"/>
      <c r="G65" s="100">
        <f t="shared" si="0"/>
        <v>550000</v>
      </c>
      <c r="H65" s="101">
        <v>550000</v>
      </c>
      <c r="I65" s="101"/>
      <c r="J65" s="101"/>
      <c r="L65" s="63"/>
    </row>
    <row r="66" spans="1:12" ht="22.5" customHeight="1" x14ac:dyDescent="0.25">
      <c r="A66" s="118">
        <v>1418312</v>
      </c>
      <c r="B66" s="102">
        <v>8312</v>
      </c>
      <c r="C66" s="97">
        <v>512</v>
      </c>
      <c r="D66" s="98" t="s">
        <v>232</v>
      </c>
      <c r="E66" s="225"/>
      <c r="F66" s="225"/>
      <c r="G66" s="100">
        <f t="shared" si="0"/>
        <v>525300</v>
      </c>
      <c r="H66" s="101"/>
      <c r="I66" s="94">
        <v>525300</v>
      </c>
      <c r="J66" s="101"/>
    </row>
    <row r="67" spans="1:12" x14ac:dyDescent="0.25">
      <c r="A67" s="112"/>
      <c r="B67" s="112"/>
      <c r="C67" s="112"/>
      <c r="D67" s="218" t="s">
        <v>22</v>
      </c>
      <c r="E67" s="219"/>
      <c r="F67" s="99"/>
      <c r="G67" s="100">
        <f>SUM(G11+G32+G34+G38+G41+G45+G58)</f>
        <v>296603277</v>
      </c>
      <c r="H67" s="100">
        <f>SUM(H11+H32+H34+H38+H41+H45+H58)</f>
        <v>170488233</v>
      </c>
      <c r="I67" s="100">
        <f>SUM(I11+I32+I34+I38+I41+I45+I58)</f>
        <v>126115044</v>
      </c>
      <c r="J67" s="100">
        <f>SUM(J11+J32+J34+J38+J41+J45+J58)</f>
        <v>125589744</v>
      </c>
    </row>
    <row r="68" spans="1:12" ht="18.75" x14ac:dyDescent="0.25">
      <c r="A68" s="6"/>
    </row>
    <row r="69" spans="1:12" ht="18.75" x14ac:dyDescent="0.3">
      <c r="B69" s="47" t="s">
        <v>236</v>
      </c>
      <c r="C69" s="47"/>
      <c r="D69" s="47"/>
      <c r="E69" s="47"/>
      <c r="F69" s="47"/>
      <c r="G69" s="47" t="s">
        <v>237</v>
      </c>
      <c r="H69" s="47"/>
    </row>
  </sheetData>
  <mergeCells count="18">
    <mergeCell ref="D67:E67"/>
    <mergeCell ref="E46:E48"/>
    <mergeCell ref="F46:F48"/>
    <mergeCell ref="E52:E57"/>
    <mergeCell ref="F52:F57"/>
    <mergeCell ref="E64:E66"/>
    <mergeCell ref="F64:F66"/>
    <mergeCell ref="A4:J4"/>
    <mergeCell ref="A5:J5"/>
    <mergeCell ref="G8:G9"/>
    <mergeCell ref="H8:H9"/>
    <mergeCell ref="I8:J8"/>
    <mergeCell ref="A8:A9"/>
    <mergeCell ref="B8:B9"/>
    <mergeCell ref="C8:C9"/>
    <mergeCell ref="D8:D9"/>
    <mergeCell ref="E8:E9"/>
    <mergeCell ref="F8:F9"/>
  </mergeCells>
  <pageMargins left="0.51181102362204722" right="0.31496062992125984" top="0.35433070866141736" bottom="0.35433070866141736" header="0.11811023622047245" footer="0.11811023622047245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Додаток_1</vt:lpstr>
      <vt:lpstr>Додаток_2</vt:lpstr>
      <vt:lpstr>Додаток_3</vt:lpstr>
      <vt:lpstr>Додаток_5</vt:lpstr>
      <vt:lpstr>Додаток_6</vt:lpstr>
      <vt:lpstr>Додаток_7</vt:lpstr>
      <vt:lpstr>Додаток_7!_Hlk90642476</vt:lpstr>
      <vt:lpstr>Додаток_1!Заголовки_для_печати</vt:lpstr>
      <vt:lpstr>Додаток_3!Заголовки_для_печати</vt:lpstr>
      <vt:lpstr>Додаток_7!Заголовки_для_печати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DMR</cp:lastModifiedBy>
  <cp:lastPrinted>2025-12-16T15:00:57Z</cp:lastPrinted>
  <dcterms:created xsi:type="dcterms:W3CDTF">2024-11-26T06:56:23Z</dcterms:created>
  <dcterms:modified xsi:type="dcterms:W3CDTF">2025-12-17T13:41:25Z</dcterms:modified>
</cp:coreProperties>
</file>