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Рішення\Р І Ш Е Н Н Я  8 скликання\52 сесія 5 пленарне 03.04.2025 (4106-4137)\"/>
    </mc:Choice>
  </mc:AlternateContent>
  <xr:revisionPtr revIDLastSave="0" documentId="13_ncr:1_{A1EE14D5-D39A-483A-8DFD-2318A5A47EC9}" xr6:coauthVersionLast="46" xr6:coauthVersionMax="46" xr10:uidLastSave="{00000000-0000-0000-0000-000000000000}"/>
  <bookViews>
    <workbookView xWindow="-120" yWindow="-120" windowWidth="29040" windowHeight="15840" activeTab="5" xr2:uid="{00000000-000D-0000-FFFF-FFFF00000000}"/>
  </bookViews>
  <sheets>
    <sheet name="Додаток 1" sheetId="8" r:id="rId1"/>
    <sheet name="Додаток 2" sheetId="4" r:id="rId2"/>
    <sheet name="Додаток 3" sheetId="5" r:id="rId3"/>
    <sheet name="Додаток 4" sheetId="6" r:id="rId4"/>
    <sheet name="Додаток 5" sheetId="7" r:id="rId5"/>
    <sheet name="Додаток 6" sheetId="1" r:id="rId6"/>
  </sheets>
  <definedNames>
    <definedName name="_Hlk90642476" localSheetId="5">'Додаток 6'!$A$76</definedName>
    <definedName name="_xlnm.Print_Titles" localSheetId="0">'Додаток 1'!$7:$9</definedName>
    <definedName name="_xlnm.Print_Titles" localSheetId="1">'Додаток 2'!$8:$8</definedName>
    <definedName name="_xlnm.Print_Titles" localSheetId="3">'Додаток 4'!$6:$10</definedName>
    <definedName name="_xlnm.Print_Titles" localSheetId="4">'Додаток 5'!$38:$38</definedName>
    <definedName name="_xlnm.Print_Titles" localSheetId="5">'Додаток 6'!$12:$12</definedName>
  </definedNames>
  <calcPr calcId="191029" refMode="R1C1"/>
</workbook>
</file>

<file path=xl/calcChain.xml><?xml version="1.0" encoding="utf-8"?>
<calcChain xmlns="http://schemas.openxmlformats.org/spreadsheetml/2006/main">
  <c r="F66" i="6" l="1"/>
  <c r="F64" i="6"/>
  <c r="D28" i="7"/>
  <c r="M28" i="1" l="1"/>
  <c r="L28" i="1"/>
  <c r="N28" i="1" s="1"/>
  <c r="G28" i="1" s="1"/>
  <c r="M29" i="1"/>
  <c r="L29" i="1"/>
  <c r="N29" i="1"/>
  <c r="J28" i="1"/>
  <c r="J29" i="1"/>
  <c r="N104" i="1"/>
  <c r="I104" i="1"/>
  <c r="M105" i="1"/>
  <c r="L105" i="1"/>
  <c r="I110" i="1"/>
  <c r="M111" i="1"/>
  <c r="L111" i="1"/>
  <c r="I111" i="1"/>
  <c r="N90" i="1"/>
  <c r="J90" i="1"/>
  <c r="N89" i="1"/>
  <c r="J89" i="1"/>
  <c r="M92" i="1"/>
  <c r="L92" i="1"/>
  <c r="I72" i="1"/>
  <c r="I71" i="1"/>
  <c r="M63" i="1"/>
  <c r="L63" i="1"/>
  <c r="M62" i="1"/>
  <c r="L62" i="1"/>
  <c r="I62" i="1"/>
  <c r="M49" i="1"/>
  <c r="L49" i="1"/>
  <c r="I49" i="1"/>
  <c r="N48" i="1"/>
  <c r="N49" i="1"/>
  <c r="N50" i="1"/>
  <c r="N51" i="1"/>
  <c r="J48" i="1"/>
  <c r="J49" i="1"/>
  <c r="J50" i="1"/>
  <c r="J51" i="1"/>
  <c r="H28" i="6"/>
  <c r="N109" i="1"/>
  <c r="J109" i="1"/>
  <c r="F91" i="6"/>
  <c r="F28" i="6"/>
  <c r="G109" i="1" l="1"/>
  <c r="G90" i="1"/>
  <c r="G89" i="1"/>
  <c r="G51" i="1"/>
  <c r="G50" i="1"/>
  <c r="G49" i="1"/>
  <c r="G48" i="1"/>
  <c r="I27" i="1" l="1"/>
  <c r="J27" i="1" s="1"/>
  <c r="N15" i="1"/>
  <c r="J15" i="1"/>
  <c r="G15" i="1" s="1"/>
  <c r="I15" i="1"/>
  <c r="N90" i="6"/>
  <c r="M90" i="6"/>
  <c r="K90" i="6"/>
  <c r="F90" i="6"/>
  <c r="K89" i="6"/>
  <c r="F89" i="6"/>
  <c r="N73" i="6"/>
  <c r="M73" i="6"/>
  <c r="K73" i="6"/>
  <c r="N84" i="6"/>
  <c r="M84" i="6"/>
  <c r="K84" i="6"/>
  <c r="O76" i="6"/>
  <c r="I76" i="6"/>
  <c r="P76" i="6" s="1"/>
  <c r="F67" i="6"/>
  <c r="N58" i="6"/>
  <c r="M58" i="6"/>
  <c r="K58" i="6"/>
  <c r="N56" i="6"/>
  <c r="M56" i="6"/>
  <c r="K56" i="6"/>
  <c r="F56" i="6"/>
  <c r="F55" i="6"/>
  <c r="F60" i="6"/>
  <c r="N36" i="6"/>
  <c r="M36" i="6"/>
  <c r="K36" i="6"/>
  <c r="F36" i="6"/>
  <c r="F39" i="6"/>
  <c r="F41" i="6"/>
  <c r="N35" i="6"/>
  <c r="M35" i="6"/>
  <c r="K35" i="6"/>
  <c r="F35" i="6"/>
  <c r="I37" i="1"/>
  <c r="N19" i="6"/>
  <c r="M19" i="6"/>
  <c r="K19" i="6"/>
  <c r="F12" i="6"/>
  <c r="N28" i="6"/>
  <c r="M28" i="6"/>
  <c r="K28" i="6"/>
  <c r="G18" i="5" l="1"/>
  <c r="G31" i="5"/>
  <c r="N32" i="6"/>
  <c r="M32" i="6"/>
  <c r="K32" i="6"/>
  <c r="I39" i="1" l="1"/>
  <c r="F32" i="6" l="1"/>
  <c r="I31" i="1"/>
  <c r="I32" i="1"/>
  <c r="N55" i="1" l="1"/>
  <c r="J55" i="1"/>
  <c r="N35" i="1"/>
  <c r="O47" i="6"/>
  <c r="I47" i="6"/>
  <c r="D49" i="7"/>
  <c r="N89" i="6"/>
  <c r="M89" i="6"/>
  <c r="N48" i="6"/>
  <c r="M48" i="6"/>
  <c r="K48" i="6"/>
  <c r="F29" i="6"/>
  <c r="F13" i="6"/>
  <c r="L102" i="1"/>
  <c r="I35" i="1"/>
  <c r="G55" i="1" l="1"/>
  <c r="P47" i="6"/>
  <c r="M19" i="1"/>
  <c r="L19" i="1"/>
  <c r="D40" i="7" l="1"/>
  <c r="D69" i="7" s="1"/>
  <c r="D18" i="7" l="1"/>
  <c r="D13" i="7"/>
  <c r="D31" i="7" s="1"/>
  <c r="D27" i="7"/>
  <c r="D32" i="7" s="1"/>
  <c r="N103" i="1"/>
  <c r="D30" i="7" l="1"/>
  <c r="F58" i="6"/>
  <c r="K66" i="6"/>
  <c r="K87" i="6"/>
  <c r="F87" i="6"/>
  <c r="N110" i="1"/>
  <c r="J108" i="1"/>
  <c r="J110" i="1"/>
  <c r="N108" i="1"/>
  <c r="J104" i="1"/>
  <c r="G104" i="1" s="1"/>
  <c r="M107" i="1"/>
  <c r="L107" i="1"/>
  <c r="N105" i="1"/>
  <c r="J105" i="1"/>
  <c r="O91" i="6"/>
  <c r="I91" i="6"/>
  <c r="P91" i="6" s="1"/>
  <c r="O84" i="6"/>
  <c r="I84" i="6"/>
  <c r="J93" i="1"/>
  <c r="G93" i="1" s="1"/>
  <c r="N87" i="1"/>
  <c r="N88" i="1"/>
  <c r="N91" i="1"/>
  <c r="N92" i="1"/>
  <c r="J91" i="1"/>
  <c r="J92" i="1"/>
  <c r="J88" i="1"/>
  <c r="J87" i="1"/>
  <c r="F70" i="6"/>
  <c r="N66" i="6"/>
  <c r="M66" i="6"/>
  <c r="M71" i="1"/>
  <c r="L71" i="1"/>
  <c r="M61" i="1"/>
  <c r="L61" i="1"/>
  <c r="I61" i="1"/>
  <c r="N62" i="1"/>
  <c r="J62" i="1"/>
  <c r="G29" i="1"/>
  <c r="G108" i="1" l="1"/>
  <c r="G110" i="1"/>
  <c r="G88" i="1"/>
  <c r="P84" i="6"/>
  <c r="G62" i="1"/>
  <c r="G87" i="1"/>
  <c r="G105" i="1"/>
  <c r="G92" i="1"/>
  <c r="G91" i="1"/>
  <c r="N106" i="1" l="1"/>
  <c r="I76" i="1"/>
  <c r="F79" i="6"/>
  <c r="N38" i="1"/>
  <c r="J38" i="1"/>
  <c r="N78" i="1"/>
  <c r="J78" i="1"/>
  <c r="I85" i="6"/>
  <c r="P85" i="6" s="1"/>
  <c r="F19" i="6"/>
  <c r="L17" i="1"/>
  <c r="N67" i="1"/>
  <c r="G67" i="1" s="1"/>
  <c r="I61" i="6"/>
  <c r="P61" i="6" s="1"/>
  <c r="N31" i="1"/>
  <c r="N14" i="1"/>
  <c r="N19" i="1"/>
  <c r="H64" i="6"/>
  <c r="H66" i="6"/>
  <c r="G78" i="1" l="1"/>
  <c r="G38" i="1"/>
  <c r="C86" i="8" l="1"/>
  <c r="D26" i="8"/>
  <c r="D25" i="8"/>
  <c r="C19" i="5" l="1"/>
  <c r="N44" i="1" l="1"/>
  <c r="J44" i="1"/>
  <c r="C90" i="8"/>
  <c r="G44" i="1" l="1"/>
  <c r="J66" i="1"/>
  <c r="N86" i="1" l="1"/>
  <c r="J86" i="1"/>
  <c r="J63" i="1"/>
  <c r="J64" i="1"/>
  <c r="N107" i="1"/>
  <c r="N111" i="1"/>
  <c r="J107" i="1"/>
  <c r="J111" i="1"/>
  <c r="N82" i="6"/>
  <c r="M82" i="6"/>
  <c r="K82" i="6"/>
  <c r="F82" i="6"/>
  <c r="N62" i="6"/>
  <c r="M62" i="6"/>
  <c r="K62" i="6"/>
  <c r="K53" i="6" s="1"/>
  <c r="O60" i="6"/>
  <c r="I60" i="6"/>
  <c r="P60" i="6" s="1"/>
  <c r="G107" i="1" l="1"/>
  <c r="G86" i="1"/>
  <c r="G111" i="1"/>
  <c r="H68" i="1"/>
  <c r="N70" i="1"/>
  <c r="N71" i="1"/>
  <c r="N72" i="1"/>
  <c r="J70" i="1"/>
  <c r="J71" i="1"/>
  <c r="J72" i="1"/>
  <c r="J60" i="1"/>
  <c r="G60" i="1" s="1"/>
  <c r="N63" i="1"/>
  <c r="G63" i="1" s="1"/>
  <c r="N64" i="1"/>
  <c r="G64" i="1" s="1"/>
  <c r="N65" i="1"/>
  <c r="N66" i="1"/>
  <c r="G66" i="1" s="1"/>
  <c r="N60" i="1"/>
  <c r="K61" i="1"/>
  <c r="N61" i="1" s="1"/>
  <c r="H61" i="1"/>
  <c r="G72" i="1" l="1"/>
  <c r="G71" i="1"/>
  <c r="G70" i="1"/>
  <c r="H18" i="5" l="1"/>
  <c r="H31" i="5"/>
  <c r="H32" i="5"/>
  <c r="C15" i="5"/>
  <c r="C16" i="5"/>
  <c r="C18" i="5"/>
  <c r="C25" i="5"/>
  <c r="C28" i="5"/>
  <c r="C31" i="5"/>
  <c r="C32" i="5"/>
  <c r="H30" i="5" l="1"/>
  <c r="K31" i="5"/>
  <c r="J31" i="5"/>
  <c r="K18" i="5"/>
  <c r="J18" i="5"/>
  <c r="F71" i="6" l="1"/>
  <c r="I100" i="1"/>
  <c r="D70" i="7" l="1"/>
  <c r="N32" i="1"/>
  <c r="J32" i="1"/>
  <c r="M54" i="1"/>
  <c r="L54" i="1"/>
  <c r="N54" i="1" s="1"/>
  <c r="N52" i="1"/>
  <c r="N53" i="1"/>
  <c r="J52" i="1"/>
  <c r="J53" i="1"/>
  <c r="J54" i="1"/>
  <c r="J56" i="1"/>
  <c r="N82" i="1"/>
  <c r="N83" i="1"/>
  <c r="N84" i="1"/>
  <c r="N85" i="1"/>
  <c r="J82" i="1"/>
  <c r="J83" i="1"/>
  <c r="J84" i="1"/>
  <c r="J85" i="1"/>
  <c r="N40" i="1"/>
  <c r="N41" i="1"/>
  <c r="N42" i="1"/>
  <c r="N43" i="1"/>
  <c r="N45" i="1"/>
  <c r="J40" i="1"/>
  <c r="J41" i="1"/>
  <c r="J42" i="1"/>
  <c r="J43" i="1"/>
  <c r="J45" i="1"/>
  <c r="N39" i="1"/>
  <c r="J39" i="1"/>
  <c r="G52" i="1" l="1"/>
  <c r="G53" i="1"/>
  <c r="G82" i="1"/>
  <c r="G54" i="1"/>
  <c r="G42" i="1"/>
  <c r="G84" i="1"/>
  <c r="D68" i="7"/>
  <c r="G43" i="1"/>
  <c r="G83" i="1"/>
  <c r="G45" i="1"/>
  <c r="G32" i="1"/>
  <c r="G85" i="1"/>
  <c r="G39" i="1"/>
  <c r="G40" i="1"/>
  <c r="G41" i="1"/>
  <c r="I18" i="1"/>
  <c r="I16" i="1"/>
  <c r="I98" i="1"/>
  <c r="I94" i="1"/>
  <c r="I75" i="1" s="1"/>
  <c r="I42" i="6"/>
  <c r="N42" i="6"/>
  <c r="M42" i="6"/>
  <c r="K42" i="6"/>
  <c r="O42" i="6" s="1"/>
  <c r="N83" i="6"/>
  <c r="N69" i="6" s="1"/>
  <c r="M83" i="6"/>
  <c r="M69" i="6" s="1"/>
  <c r="K83" i="6"/>
  <c r="K69" i="6" s="1"/>
  <c r="F26" i="6"/>
  <c r="N33" i="6"/>
  <c r="O48" i="6"/>
  <c r="I48" i="6"/>
  <c r="L33" i="6"/>
  <c r="O86" i="6"/>
  <c r="I86" i="6"/>
  <c r="I68" i="6"/>
  <c r="O67" i="6"/>
  <c r="O68" i="6"/>
  <c r="G69" i="6"/>
  <c r="L69" i="6"/>
  <c r="O75" i="6"/>
  <c r="I75" i="6"/>
  <c r="P42" i="6" l="1"/>
  <c r="K33" i="6"/>
  <c r="P86" i="6"/>
  <c r="P75" i="6"/>
  <c r="M33" i="6"/>
  <c r="P48" i="6"/>
  <c r="O31" i="6" l="1"/>
  <c r="O32" i="6"/>
  <c r="I12" i="6"/>
  <c r="K11" i="6"/>
  <c r="L11" i="6"/>
  <c r="M11" i="6"/>
  <c r="N11" i="6"/>
  <c r="I31" i="6"/>
  <c r="I32" i="6"/>
  <c r="G37" i="6"/>
  <c r="F37" i="6"/>
  <c r="G39" i="6"/>
  <c r="G36" i="6"/>
  <c r="G35" i="6"/>
  <c r="G33" i="6" s="1"/>
  <c r="G55" i="6"/>
  <c r="G53" i="6" s="1"/>
  <c r="G58" i="6"/>
  <c r="G23" i="6"/>
  <c r="G11" i="6" s="1"/>
  <c r="F23" i="6"/>
  <c r="H23" i="6"/>
  <c r="H11" i="6" s="1"/>
  <c r="F18" i="6"/>
  <c r="H82" i="6"/>
  <c r="F77" i="6"/>
  <c r="F69" i="6" s="1"/>
  <c r="H77" i="6"/>
  <c r="H70" i="6"/>
  <c r="F63" i="6"/>
  <c r="F57" i="6"/>
  <c r="F53" i="6" s="1"/>
  <c r="H55" i="6"/>
  <c r="H53" i="6" s="1"/>
  <c r="F40" i="6"/>
  <c r="H36" i="6"/>
  <c r="H34" i="6"/>
  <c r="F34" i="6"/>
  <c r="F33" i="6" s="1"/>
  <c r="C107" i="8"/>
  <c r="E106" i="8"/>
  <c r="C106" i="8" s="1"/>
  <c r="C104" i="8"/>
  <c r="E103" i="8"/>
  <c r="C103" i="8" s="1"/>
  <c r="C99" i="8"/>
  <c r="C98" i="8"/>
  <c r="E97" i="8"/>
  <c r="C97" i="8" s="1"/>
  <c r="D97" i="8"/>
  <c r="C95" i="8"/>
  <c r="C94" i="8"/>
  <c r="D92" i="8"/>
  <c r="C92" i="8"/>
  <c r="C91" i="8"/>
  <c r="C89" i="8"/>
  <c r="C88" i="8"/>
  <c r="C87" i="8"/>
  <c r="E85" i="8"/>
  <c r="D84" i="8"/>
  <c r="C83" i="8"/>
  <c r="D81" i="8"/>
  <c r="C81" i="8" s="1"/>
  <c r="C80" i="8"/>
  <c r="C78" i="8"/>
  <c r="C77" i="8"/>
  <c r="E76" i="8"/>
  <c r="D76" i="8"/>
  <c r="C76" i="8" s="1"/>
  <c r="C75" i="8"/>
  <c r="C74" i="8"/>
  <c r="C73" i="8"/>
  <c r="C72" i="8"/>
  <c r="C71" i="8"/>
  <c r="E70" i="8"/>
  <c r="D70" i="8"/>
  <c r="C69" i="8"/>
  <c r="D68" i="8"/>
  <c r="C68" i="8" s="1"/>
  <c r="E67" i="8"/>
  <c r="E66" i="8" s="1"/>
  <c r="C64" i="8"/>
  <c r="C63" i="8"/>
  <c r="D62" i="8"/>
  <c r="C62" i="8" s="1"/>
  <c r="C61" i="8"/>
  <c r="C60" i="8"/>
  <c r="D59" i="8"/>
  <c r="C59" i="8" s="1"/>
  <c r="C58" i="8"/>
  <c r="C57" i="8"/>
  <c r="D56" i="8"/>
  <c r="C56" i="8" s="1"/>
  <c r="C54" i="8"/>
  <c r="C53" i="8"/>
  <c r="D52" i="8"/>
  <c r="C52" i="8"/>
  <c r="C50" i="8"/>
  <c r="C49" i="8"/>
  <c r="D48" i="8"/>
  <c r="C48" i="8" s="1"/>
  <c r="C47" i="8"/>
  <c r="C46" i="8"/>
  <c r="D45" i="8"/>
  <c r="D41" i="8" s="1"/>
  <c r="C44" i="8"/>
  <c r="C43" i="8"/>
  <c r="D42" i="8"/>
  <c r="C42" i="8" s="1"/>
  <c r="C40" i="8"/>
  <c r="C39" i="8"/>
  <c r="D38" i="8"/>
  <c r="C38" i="8"/>
  <c r="D37" i="8"/>
  <c r="C37" i="8" s="1"/>
  <c r="C35" i="8"/>
  <c r="C34" i="8"/>
  <c r="C33" i="8"/>
  <c r="D32" i="8"/>
  <c r="C32" i="8" s="1"/>
  <c r="C31" i="8"/>
  <c r="C30" i="8"/>
  <c r="C29" i="8"/>
  <c r="C28" i="8"/>
  <c r="D27" i="8"/>
  <c r="C27" i="8" s="1"/>
  <c r="C26" i="8"/>
  <c r="C25" i="8"/>
  <c r="D24" i="8"/>
  <c r="C23" i="8"/>
  <c r="C22" i="8"/>
  <c r="C21" i="8"/>
  <c r="C20" i="8"/>
  <c r="C19" i="8"/>
  <c r="D18" i="8"/>
  <c r="C18" i="8" s="1"/>
  <c r="C17" i="8"/>
  <c r="C16" i="8"/>
  <c r="C15" i="8"/>
  <c r="C14" i="8"/>
  <c r="C13" i="8"/>
  <c r="E12" i="8"/>
  <c r="E11" i="8" s="1"/>
  <c r="D12" i="8"/>
  <c r="C70" i="8" l="1"/>
  <c r="H33" i="6"/>
  <c r="D11" i="8"/>
  <c r="C11" i="8" s="1"/>
  <c r="C85" i="8"/>
  <c r="E84" i="8"/>
  <c r="C84" i="8" s="1"/>
  <c r="C12" i="8"/>
  <c r="D67" i="8"/>
  <c r="C24" i="8"/>
  <c r="P31" i="6"/>
  <c r="H69" i="6"/>
  <c r="P32" i="6"/>
  <c r="F11" i="6"/>
  <c r="C41" i="8"/>
  <c r="D55" i="8"/>
  <c r="C45" i="8"/>
  <c r="J103" i="1"/>
  <c r="J37" i="1"/>
  <c r="N37" i="1"/>
  <c r="I46" i="1"/>
  <c r="K46" i="1"/>
  <c r="L46" i="1"/>
  <c r="M46" i="1"/>
  <c r="H46" i="1"/>
  <c r="N47" i="1"/>
  <c r="J47" i="1"/>
  <c r="N36" i="1"/>
  <c r="J36" i="1"/>
  <c r="I90" i="6"/>
  <c r="O90" i="6"/>
  <c r="E65" i="8" l="1"/>
  <c r="E100" i="8" s="1"/>
  <c r="E108" i="8" s="1"/>
  <c r="D66" i="8"/>
  <c r="C67" i="8"/>
  <c r="G47" i="1"/>
  <c r="G36" i="1"/>
  <c r="C55" i="8"/>
  <c r="D51" i="8"/>
  <c r="G103" i="1"/>
  <c r="G37" i="1"/>
  <c r="P90" i="6"/>
  <c r="D65" i="8" l="1"/>
  <c r="C66" i="8"/>
  <c r="C51" i="8"/>
  <c r="C36" i="8" s="1"/>
  <c r="D36" i="8"/>
  <c r="C65" i="8" l="1"/>
  <c r="D100" i="8"/>
  <c r="D108" i="8" s="1"/>
  <c r="C108" i="8" s="1"/>
  <c r="C100" i="8" l="1"/>
  <c r="C101" i="8" s="1"/>
  <c r="I25" i="6"/>
  <c r="P25" i="6" s="1"/>
  <c r="J112" i="4" l="1"/>
  <c r="F112" i="4"/>
  <c r="C112" i="4" s="1"/>
  <c r="E104" i="4"/>
  <c r="E102" i="4" s="1"/>
  <c r="H104" i="4"/>
  <c r="H102" i="4" s="1"/>
  <c r="J110" i="4"/>
  <c r="J111" i="4"/>
  <c r="F109" i="4"/>
  <c r="F110" i="4"/>
  <c r="F111" i="4"/>
  <c r="J109" i="4"/>
  <c r="I109" i="4"/>
  <c r="I104" i="4" s="1"/>
  <c r="I102" i="4" s="1"/>
  <c r="C110" i="4" l="1"/>
  <c r="C109" i="4"/>
  <c r="C111" i="4"/>
  <c r="N16" i="1" l="1"/>
  <c r="I13" i="1"/>
  <c r="K57" i="1"/>
  <c r="L57" i="1"/>
  <c r="M57" i="1"/>
  <c r="K68" i="1"/>
  <c r="L68" i="1"/>
  <c r="M68" i="1"/>
  <c r="K75" i="1"/>
  <c r="L75" i="1"/>
  <c r="M75" i="1"/>
  <c r="K101" i="1"/>
  <c r="L101" i="1"/>
  <c r="M101" i="1"/>
  <c r="N18" i="1"/>
  <c r="N20" i="1"/>
  <c r="N21" i="1"/>
  <c r="N22" i="1"/>
  <c r="N23" i="1"/>
  <c r="N24" i="1"/>
  <c r="N25" i="1"/>
  <c r="N26" i="1"/>
  <c r="N27" i="1"/>
  <c r="G27" i="1" s="1"/>
  <c r="N30" i="1"/>
  <c r="N33" i="1"/>
  <c r="N34" i="1"/>
  <c r="N56" i="1"/>
  <c r="N58" i="1"/>
  <c r="N59" i="1"/>
  <c r="N69" i="1"/>
  <c r="N73" i="1"/>
  <c r="N74" i="1"/>
  <c r="N76" i="1"/>
  <c r="N77" i="1"/>
  <c r="N79" i="1"/>
  <c r="N80" i="1"/>
  <c r="N81" i="1"/>
  <c r="N94" i="1"/>
  <c r="N95" i="1"/>
  <c r="N96" i="1"/>
  <c r="N97" i="1"/>
  <c r="N98" i="1"/>
  <c r="N99" i="1"/>
  <c r="N100" i="1"/>
  <c r="N102" i="1"/>
  <c r="N112" i="1"/>
  <c r="J16" i="1"/>
  <c r="G16" i="1" s="1"/>
  <c r="J18" i="1"/>
  <c r="J19" i="1"/>
  <c r="G19" i="1" s="1"/>
  <c r="J20" i="1"/>
  <c r="J22" i="1"/>
  <c r="J23" i="1"/>
  <c r="J24" i="1"/>
  <c r="J25" i="1"/>
  <c r="J26" i="1"/>
  <c r="J30" i="1"/>
  <c r="J31" i="1"/>
  <c r="G31" i="1" s="1"/>
  <c r="J33" i="1"/>
  <c r="J34" i="1"/>
  <c r="J35" i="1"/>
  <c r="J46" i="1"/>
  <c r="J58" i="1"/>
  <c r="J59" i="1"/>
  <c r="J65" i="1"/>
  <c r="J61" i="1" s="1"/>
  <c r="G61" i="1" s="1"/>
  <c r="J69" i="1"/>
  <c r="J73" i="1"/>
  <c r="J74" i="1"/>
  <c r="J76" i="1"/>
  <c r="J77" i="1"/>
  <c r="J79" i="1"/>
  <c r="J80" i="1"/>
  <c r="J81" i="1"/>
  <c r="J94" i="1"/>
  <c r="J95" i="1"/>
  <c r="J96" i="1"/>
  <c r="J97" i="1"/>
  <c r="J98" i="1"/>
  <c r="J99" i="1"/>
  <c r="J100" i="1"/>
  <c r="J102" i="1"/>
  <c r="J106" i="1"/>
  <c r="J112" i="1"/>
  <c r="J14" i="1"/>
  <c r="G14" i="1" s="1"/>
  <c r="I101" i="1"/>
  <c r="I68" i="1"/>
  <c r="I57" i="1"/>
  <c r="L13" i="1"/>
  <c r="M13" i="1"/>
  <c r="J68" i="1" l="1"/>
  <c r="G18" i="1"/>
  <c r="G100" i="1"/>
  <c r="G99" i="1"/>
  <c r="N46" i="1"/>
  <c r="G46" i="1" s="1"/>
  <c r="G56" i="1"/>
  <c r="G65" i="1"/>
  <c r="G58" i="1"/>
  <c r="G59" i="1"/>
  <c r="G20" i="1"/>
  <c r="G81" i="1"/>
  <c r="G80" i="1"/>
  <c r="G30" i="1"/>
  <c r="G26" i="1"/>
  <c r="G97" i="1"/>
  <c r="G25" i="1"/>
  <c r="G33" i="1"/>
  <c r="G22" i="1"/>
  <c r="G79" i="1"/>
  <c r="G96" i="1"/>
  <c r="G74" i="1"/>
  <c r="M113" i="1"/>
  <c r="G102" i="1"/>
  <c r="I113" i="1"/>
  <c r="N101" i="1"/>
  <c r="N68" i="1"/>
  <c r="G76" i="1"/>
  <c r="J57" i="1"/>
  <c r="N57" i="1"/>
  <c r="N75" i="1"/>
  <c r="G98" i="1"/>
  <c r="G77" i="1"/>
  <c r="J75" i="1"/>
  <c r="J101" i="1"/>
  <c r="G112" i="1"/>
  <c r="G95" i="1"/>
  <c r="G73" i="1"/>
  <c r="G35" i="1"/>
  <c r="G24" i="1"/>
  <c r="G106" i="1"/>
  <c r="G94" i="1"/>
  <c r="G69" i="1"/>
  <c r="G34" i="1"/>
  <c r="G23" i="1"/>
  <c r="L113" i="1"/>
  <c r="H57" i="1"/>
  <c r="H75" i="1"/>
  <c r="H101" i="1"/>
  <c r="O45" i="6"/>
  <c r="I45" i="6"/>
  <c r="G57" i="1" l="1"/>
  <c r="G68" i="1"/>
  <c r="G75" i="1"/>
  <c r="G101" i="1"/>
  <c r="P45" i="6"/>
  <c r="L31" i="5"/>
  <c r="L15" i="5"/>
  <c r="L16" i="5"/>
  <c r="L18" i="5"/>
  <c r="L19" i="5"/>
  <c r="L25" i="5"/>
  <c r="L28" i="5"/>
  <c r="L32" i="5"/>
  <c r="I17" i="5"/>
  <c r="K17" i="5"/>
  <c r="F30" i="5"/>
  <c r="G30" i="5"/>
  <c r="I30" i="5"/>
  <c r="J30" i="5"/>
  <c r="K30" i="5"/>
  <c r="J17" i="5"/>
  <c r="G17" i="5"/>
  <c r="F17" i="5"/>
  <c r="D15" i="5"/>
  <c r="E15" i="5" s="1"/>
  <c r="D16" i="5"/>
  <c r="E16" i="5" s="1"/>
  <c r="D18" i="5"/>
  <c r="E18" i="5" s="1"/>
  <c r="D19" i="5"/>
  <c r="E19" i="5" s="1"/>
  <c r="D25" i="5"/>
  <c r="E25" i="5" s="1"/>
  <c r="D28" i="5"/>
  <c r="E28" i="5" s="1"/>
  <c r="D31" i="5"/>
  <c r="E31" i="5" s="1"/>
  <c r="D32" i="5"/>
  <c r="E32" i="5" s="1"/>
  <c r="C17" i="5" l="1"/>
  <c r="C30" i="5"/>
  <c r="L17" i="5"/>
  <c r="D30" i="5"/>
  <c r="L30" i="5"/>
  <c r="D17" i="5"/>
  <c r="J100" i="4"/>
  <c r="J89" i="4"/>
  <c r="J106" i="4"/>
  <c r="F12" i="4"/>
  <c r="F13" i="4"/>
  <c r="F14" i="4"/>
  <c r="F15" i="4"/>
  <c r="F16" i="4"/>
  <c r="F18" i="4"/>
  <c r="F21" i="4"/>
  <c r="F22" i="4"/>
  <c r="F24" i="4"/>
  <c r="F25" i="4"/>
  <c r="F26" i="4"/>
  <c r="F28" i="4"/>
  <c r="F31" i="4"/>
  <c r="F33" i="4"/>
  <c r="F35" i="4"/>
  <c r="F36" i="4"/>
  <c r="F39" i="4"/>
  <c r="F40" i="4"/>
  <c r="F41" i="4"/>
  <c r="F42" i="4"/>
  <c r="F43" i="4"/>
  <c r="F44" i="4"/>
  <c r="F45" i="4"/>
  <c r="F47" i="4"/>
  <c r="F48" i="4"/>
  <c r="F50" i="4"/>
  <c r="F51" i="4"/>
  <c r="F52" i="4"/>
  <c r="F55" i="4"/>
  <c r="F56" i="4"/>
  <c r="F57" i="4"/>
  <c r="F61" i="4"/>
  <c r="F63" i="4"/>
  <c r="F64" i="4"/>
  <c r="F66" i="4"/>
  <c r="F69" i="4"/>
  <c r="F71" i="4"/>
  <c r="F72" i="4"/>
  <c r="F73" i="4"/>
  <c r="F77" i="4"/>
  <c r="F79" i="4"/>
  <c r="F80" i="4"/>
  <c r="F81" i="4"/>
  <c r="F84" i="4"/>
  <c r="F85" i="4"/>
  <c r="F86" i="4"/>
  <c r="F89" i="4"/>
  <c r="F93" i="4"/>
  <c r="F98" i="4"/>
  <c r="F99" i="4"/>
  <c r="F100" i="4"/>
  <c r="F101" i="4"/>
  <c r="F103" i="4"/>
  <c r="F106" i="4"/>
  <c r="F107" i="4"/>
  <c r="F108" i="4"/>
  <c r="E97" i="4"/>
  <c r="J99" i="4"/>
  <c r="J101" i="4"/>
  <c r="E30" i="5" l="1"/>
  <c r="E17" i="5"/>
  <c r="C101" i="4"/>
  <c r="C99" i="4"/>
  <c r="C100" i="4"/>
  <c r="I13" i="6" l="1"/>
  <c r="I14" i="6"/>
  <c r="I15" i="6"/>
  <c r="I16" i="6"/>
  <c r="I17" i="6"/>
  <c r="I18" i="6"/>
  <c r="I20" i="6"/>
  <c r="I21" i="6"/>
  <c r="I23" i="6"/>
  <c r="I24" i="6"/>
  <c r="I27" i="6"/>
  <c r="I28" i="6"/>
  <c r="I29" i="6"/>
  <c r="I30" i="6"/>
  <c r="I34" i="6"/>
  <c r="I36" i="6"/>
  <c r="I37" i="6"/>
  <c r="I38" i="6"/>
  <c r="I39" i="6"/>
  <c r="I40" i="6"/>
  <c r="I41" i="6"/>
  <c r="I43" i="6"/>
  <c r="I44" i="6"/>
  <c r="I46" i="6"/>
  <c r="I50" i="6"/>
  <c r="I52" i="6"/>
  <c r="I54" i="6"/>
  <c r="I55" i="6"/>
  <c r="I56" i="6"/>
  <c r="I57" i="6"/>
  <c r="I59" i="6"/>
  <c r="I62" i="6"/>
  <c r="I64" i="6"/>
  <c r="I65" i="6"/>
  <c r="I66" i="6"/>
  <c r="I67" i="6"/>
  <c r="P67" i="6" s="1"/>
  <c r="I71" i="6"/>
  <c r="I72" i="6"/>
  <c r="I73" i="6"/>
  <c r="I74" i="6"/>
  <c r="I78" i="6"/>
  <c r="I79" i="6"/>
  <c r="I80" i="6"/>
  <c r="I81" i="6"/>
  <c r="I82" i="6"/>
  <c r="I83" i="6"/>
  <c r="I88" i="6"/>
  <c r="I92" i="6"/>
  <c r="I94" i="6"/>
  <c r="I95" i="6"/>
  <c r="I96" i="6"/>
  <c r="I97" i="6"/>
  <c r="O12" i="6"/>
  <c r="O13" i="6"/>
  <c r="O14" i="6"/>
  <c r="O15" i="6"/>
  <c r="O16" i="6"/>
  <c r="O17" i="6"/>
  <c r="O18" i="6"/>
  <c r="O20" i="6"/>
  <c r="O21" i="6"/>
  <c r="O22" i="6"/>
  <c r="O23" i="6"/>
  <c r="O24" i="6"/>
  <c r="O26" i="6"/>
  <c r="O27" i="6"/>
  <c r="O28" i="6"/>
  <c r="O29" i="6"/>
  <c r="O30" i="6"/>
  <c r="O34" i="6"/>
  <c r="O38" i="6"/>
  <c r="O39" i="6"/>
  <c r="O40" i="6"/>
  <c r="O41" i="6"/>
  <c r="O43" i="6"/>
  <c r="O44" i="6"/>
  <c r="O46" i="6"/>
  <c r="O50" i="6"/>
  <c r="O51" i="6"/>
  <c r="O52" i="6"/>
  <c r="O54" i="6"/>
  <c r="O57" i="6"/>
  <c r="O59" i="6"/>
  <c r="O62" i="6"/>
  <c r="O64" i="6"/>
  <c r="O65" i="6"/>
  <c r="O70" i="6"/>
  <c r="O71" i="6"/>
  <c r="O72" i="6"/>
  <c r="O74" i="6"/>
  <c r="O77" i="6"/>
  <c r="O78" i="6"/>
  <c r="O79" i="6"/>
  <c r="O80" i="6"/>
  <c r="O81" i="6"/>
  <c r="P81" i="6" s="1"/>
  <c r="O82" i="6"/>
  <c r="O83" i="6"/>
  <c r="O88" i="6"/>
  <c r="O92" i="6"/>
  <c r="O94" i="6"/>
  <c r="P94" i="6" s="1"/>
  <c r="O95" i="6"/>
  <c r="P95" i="6" s="1"/>
  <c r="O96" i="6"/>
  <c r="O97" i="6"/>
  <c r="G97" i="4"/>
  <c r="H97" i="4"/>
  <c r="I97" i="4"/>
  <c r="D97" i="4"/>
  <c r="F97" i="4" s="1"/>
  <c r="P97" i="6" l="1"/>
  <c r="P92" i="6"/>
  <c r="P24" i="6"/>
  <c r="P23" i="6"/>
  <c r="P38" i="6"/>
  <c r="P64" i="6"/>
  <c r="P21" i="6"/>
  <c r="P12" i="6"/>
  <c r="P29" i="6"/>
  <c r="P72" i="6"/>
  <c r="P82" i="6"/>
  <c r="P71" i="6"/>
  <c r="P13" i="6"/>
  <c r="P30" i="6"/>
  <c r="P79" i="6"/>
  <c r="P54" i="6"/>
  <c r="P15" i="6"/>
  <c r="P43" i="6"/>
  <c r="P40" i="6"/>
  <c r="P78" i="6"/>
  <c r="P34" i="6"/>
  <c r="P20" i="6"/>
  <c r="P59" i="6"/>
  <c r="P39" i="6"/>
  <c r="P28" i="6"/>
  <c r="P68" i="6"/>
  <c r="P50" i="6"/>
  <c r="P27" i="6"/>
  <c r="P18" i="6"/>
  <c r="P88" i="6"/>
  <c r="P57" i="6"/>
  <c r="P17" i="6"/>
  <c r="P74" i="6"/>
  <c r="P46" i="6"/>
  <c r="P16" i="6"/>
  <c r="P96" i="6"/>
  <c r="P83" i="6"/>
  <c r="P65" i="6"/>
  <c r="P44" i="6"/>
  <c r="P14" i="6"/>
  <c r="P80" i="6"/>
  <c r="P62" i="6"/>
  <c r="P52" i="6"/>
  <c r="P41" i="6"/>
  <c r="H21" i="1"/>
  <c r="J21" i="1" s="1"/>
  <c r="G21" i="1" s="1"/>
  <c r="I29" i="5" l="1"/>
  <c r="J29" i="5"/>
  <c r="K29" i="5"/>
  <c r="G29" i="5"/>
  <c r="K26" i="5"/>
  <c r="F27" i="5"/>
  <c r="G27" i="5"/>
  <c r="J27" i="5"/>
  <c r="J26" i="5" s="1"/>
  <c r="K27" i="5"/>
  <c r="F24" i="5"/>
  <c r="G24" i="5"/>
  <c r="J24" i="5"/>
  <c r="J23" i="5" s="1"/>
  <c r="K24" i="5"/>
  <c r="K23" i="5" s="1"/>
  <c r="G14" i="5"/>
  <c r="I14" i="5"/>
  <c r="J14" i="5"/>
  <c r="J13" i="5" s="1"/>
  <c r="J12" i="5" s="1"/>
  <c r="K14" i="5"/>
  <c r="K13" i="5" s="1"/>
  <c r="K12" i="5" s="1"/>
  <c r="K20" i="5" s="1"/>
  <c r="H15" i="5"/>
  <c r="H16" i="5"/>
  <c r="H19" i="5"/>
  <c r="H25" i="5"/>
  <c r="H28" i="5"/>
  <c r="F26" i="5" l="1"/>
  <c r="F23" i="5"/>
  <c r="D14" i="5"/>
  <c r="J20" i="5"/>
  <c r="J22" i="5"/>
  <c r="H27" i="5"/>
  <c r="H26" i="5" s="1"/>
  <c r="D24" i="5"/>
  <c r="D27" i="5"/>
  <c r="H17" i="5"/>
  <c r="G26" i="5"/>
  <c r="G13" i="5"/>
  <c r="D13" i="5" s="1"/>
  <c r="G23" i="5"/>
  <c r="D23" i="5" s="1"/>
  <c r="I13" i="5"/>
  <c r="L13" i="5" s="1"/>
  <c r="L14" i="5"/>
  <c r="J33" i="5"/>
  <c r="L29" i="5"/>
  <c r="D29" i="5"/>
  <c r="H24" i="5"/>
  <c r="H14" i="5"/>
  <c r="H13" i="5" s="1"/>
  <c r="K22" i="5"/>
  <c r="K33" i="5" s="1"/>
  <c r="F93" i="6"/>
  <c r="G93" i="6"/>
  <c r="H93" i="6"/>
  <c r="J93" i="6"/>
  <c r="K93" i="6"/>
  <c r="L93" i="6"/>
  <c r="M93" i="6"/>
  <c r="N93" i="6"/>
  <c r="G87" i="6"/>
  <c r="H87" i="6"/>
  <c r="L87" i="6"/>
  <c r="M87" i="6"/>
  <c r="N87" i="6"/>
  <c r="G63" i="6"/>
  <c r="H63" i="6"/>
  <c r="K63" i="6"/>
  <c r="L63" i="6"/>
  <c r="M63" i="6"/>
  <c r="N63" i="6"/>
  <c r="L53" i="6"/>
  <c r="M53" i="6"/>
  <c r="N53" i="6"/>
  <c r="F49" i="6"/>
  <c r="G49" i="6"/>
  <c r="H49" i="6"/>
  <c r="J49" i="6"/>
  <c r="K49" i="6"/>
  <c r="L49" i="6"/>
  <c r="M49" i="6"/>
  <c r="N49" i="6"/>
  <c r="E96" i="4"/>
  <c r="E95" i="4" s="1"/>
  <c r="G104" i="4"/>
  <c r="G102" i="4" s="1"/>
  <c r="I96" i="4"/>
  <c r="I95" i="4" s="1"/>
  <c r="E92" i="4"/>
  <c r="E91" i="4" s="1"/>
  <c r="E90" i="4" s="1"/>
  <c r="G92" i="4"/>
  <c r="G91" i="4" s="1"/>
  <c r="G90" i="4" s="1"/>
  <c r="H92" i="4"/>
  <c r="H91" i="4" s="1"/>
  <c r="H90" i="4" s="1"/>
  <c r="I92" i="4"/>
  <c r="I91" i="4" s="1"/>
  <c r="I90" i="4" s="1"/>
  <c r="E88" i="4"/>
  <c r="E87" i="4" s="1"/>
  <c r="G88" i="4"/>
  <c r="G87" i="4" s="1"/>
  <c r="H88" i="4"/>
  <c r="H87" i="4" s="1"/>
  <c r="I88" i="4"/>
  <c r="I87" i="4" s="1"/>
  <c r="E83" i="4"/>
  <c r="E82" i="4" s="1"/>
  <c r="G83" i="4"/>
  <c r="G82" i="4" s="1"/>
  <c r="H83" i="4"/>
  <c r="H82" i="4" s="1"/>
  <c r="I83" i="4"/>
  <c r="I82" i="4" s="1"/>
  <c r="E78" i="4"/>
  <c r="G78" i="4"/>
  <c r="H78" i="4"/>
  <c r="I78" i="4"/>
  <c r="E75" i="4"/>
  <c r="G75" i="4"/>
  <c r="H75" i="4"/>
  <c r="I75" i="4"/>
  <c r="E68" i="4"/>
  <c r="G68" i="4"/>
  <c r="H68" i="4"/>
  <c r="I68" i="4"/>
  <c r="E62" i="4"/>
  <c r="G62" i="4"/>
  <c r="H62" i="4"/>
  <c r="I62" i="4"/>
  <c r="E60" i="4"/>
  <c r="G60" i="4"/>
  <c r="H60" i="4"/>
  <c r="I60" i="4"/>
  <c r="D54" i="4"/>
  <c r="E54" i="4"/>
  <c r="E53" i="4" s="1"/>
  <c r="H54" i="4"/>
  <c r="H53" i="4" s="1"/>
  <c r="I54" i="4"/>
  <c r="I53" i="4" s="1"/>
  <c r="E49" i="4"/>
  <c r="G49" i="4"/>
  <c r="H49" i="4"/>
  <c r="I49" i="4"/>
  <c r="E46" i="4"/>
  <c r="G46" i="4"/>
  <c r="H46" i="4"/>
  <c r="I46" i="4"/>
  <c r="E38" i="4"/>
  <c r="G38" i="4"/>
  <c r="H38" i="4"/>
  <c r="I38" i="4"/>
  <c r="E34" i="4"/>
  <c r="G34" i="4"/>
  <c r="H34" i="4"/>
  <c r="I34" i="4"/>
  <c r="E32" i="4"/>
  <c r="G32" i="4"/>
  <c r="H32" i="4"/>
  <c r="I32" i="4"/>
  <c r="E30" i="4"/>
  <c r="G30" i="4"/>
  <c r="H30" i="4"/>
  <c r="I30" i="4"/>
  <c r="E27" i="4"/>
  <c r="G27" i="4"/>
  <c r="H27" i="4"/>
  <c r="I27" i="4"/>
  <c r="E23" i="4"/>
  <c r="G23" i="4"/>
  <c r="H23" i="4"/>
  <c r="I23" i="4"/>
  <c r="E20" i="4"/>
  <c r="G20" i="4"/>
  <c r="H20" i="4"/>
  <c r="I20" i="4"/>
  <c r="E17" i="4"/>
  <c r="G17" i="4"/>
  <c r="H17" i="4"/>
  <c r="I17" i="4"/>
  <c r="E11" i="4"/>
  <c r="G11" i="4"/>
  <c r="H11" i="4"/>
  <c r="I11" i="4"/>
  <c r="J12" i="4"/>
  <c r="J13" i="4"/>
  <c r="C13" i="4" s="1"/>
  <c r="J14" i="4"/>
  <c r="C14" i="4" s="1"/>
  <c r="J15" i="4"/>
  <c r="C15" i="4" s="1"/>
  <c r="J16" i="4"/>
  <c r="J18" i="4"/>
  <c r="J17" i="4" s="1"/>
  <c r="J21" i="4"/>
  <c r="J22" i="4"/>
  <c r="C22" i="4" s="1"/>
  <c r="J24" i="4"/>
  <c r="J25" i="4"/>
  <c r="C25" i="4" s="1"/>
  <c r="J26" i="4"/>
  <c r="C26" i="4" s="1"/>
  <c r="J28" i="4"/>
  <c r="J27" i="4" s="1"/>
  <c r="J31" i="4"/>
  <c r="J30" i="4" s="1"/>
  <c r="J33" i="4"/>
  <c r="J32" i="4" s="1"/>
  <c r="J35" i="4"/>
  <c r="J36" i="4"/>
  <c r="C36" i="4" s="1"/>
  <c r="J39" i="4"/>
  <c r="J40" i="4"/>
  <c r="C40" i="4" s="1"/>
  <c r="J41" i="4"/>
  <c r="C41" i="4" s="1"/>
  <c r="J42" i="4"/>
  <c r="C42" i="4" s="1"/>
  <c r="J43" i="4"/>
  <c r="J44" i="4"/>
  <c r="C44" i="4" s="1"/>
  <c r="J45" i="4"/>
  <c r="J47" i="4"/>
  <c r="J48" i="4"/>
  <c r="J50" i="4"/>
  <c r="J51" i="4"/>
  <c r="C51" i="4" s="1"/>
  <c r="J52" i="4"/>
  <c r="C52" i="4" s="1"/>
  <c r="J55" i="4"/>
  <c r="J56" i="4"/>
  <c r="C56" i="4" s="1"/>
  <c r="J57" i="4"/>
  <c r="J61" i="4"/>
  <c r="J60" i="4" s="1"/>
  <c r="J63" i="4"/>
  <c r="J64" i="4"/>
  <c r="C64" i="4" s="1"/>
  <c r="J66" i="4"/>
  <c r="C66" i="4" s="1"/>
  <c r="J69" i="4"/>
  <c r="J71" i="4"/>
  <c r="J72" i="4"/>
  <c r="C72" i="4" s="1"/>
  <c r="J73" i="4"/>
  <c r="J77" i="4"/>
  <c r="J75" i="4" s="1"/>
  <c r="J79" i="4"/>
  <c r="J80" i="4"/>
  <c r="C80" i="4" s="1"/>
  <c r="J81" i="4"/>
  <c r="C81" i="4" s="1"/>
  <c r="J84" i="4"/>
  <c r="C84" i="4" s="1"/>
  <c r="J85" i="4"/>
  <c r="J86" i="4"/>
  <c r="C86" i="4" s="1"/>
  <c r="J88" i="4"/>
  <c r="J87" i="4" s="1"/>
  <c r="J93" i="4"/>
  <c r="J92" i="4" s="1"/>
  <c r="J91" i="4" s="1"/>
  <c r="J90" i="4" s="1"/>
  <c r="J98" i="4"/>
  <c r="J97" i="4" s="1"/>
  <c r="J103" i="4"/>
  <c r="C103" i="4" s="1"/>
  <c r="J105" i="4"/>
  <c r="J107" i="4"/>
  <c r="J108" i="4"/>
  <c r="C108" i="4" s="1"/>
  <c r="C106" i="4"/>
  <c r="E37" i="4" l="1"/>
  <c r="I37" i="4"/>
  <c r="J104" i="4"/>
  <c r="J102" i="4" s="1"/>
  <c r="C93" i="4"/>
  <c r="E59" i="4"/>
  <c r="I59" i="4"/>
  <c r="H19" i="4"/>
  <c r="G29" i="4"/>
  <c r="H37" i="4"/>
  <c r="I19" i="4"/>
  <c r="H59" i="4"/>
  <c r="C61" i="4"/>
  <c r="J34" i="4"/>
  <c r="J29" i="4" s="1"/>
  <c r="H12" i="5"/>
  <c r="H20" i="5" s="1"/>
  <c r="C33" i="4"/>
  <c r="C18" i="4"/>
  <c r="E29" i="4"/>
  <c r="I12" i="5"/>
  <c r="H23" i="5"/>
  <c r="H22" i="5" s="1"/>
  <c r="G22" i="5"/>
  <c r="D26" i="5"/>
  <c r="H29" i="4"/>
  <c r="D53" i="4"/>
  <c r="F53" i="4" s="1"/>
  <c r="F54" i="4"/>
  <c r="G12" i="5"/>
  <c r="H29" i="5"/>
  <c r="H33" i="5" s="1"/>
  <c r="O93" i="6"/>
  <c r="O49" i="6"/>
  <c r="E10" i="4"/>
  <c r="H10" i="4"/>
  <c r="C98" i="4"/>
  <c r="C79" i="4"/>
  <c r="C48" i="4"/>
  <c r="C12" i="4"/>
  <c r="J20" i="4"/>
  <c r="I29" i="4"/>
  <c r="C31" i="4"/>
  <c r="C16" i="4"/>
  <c r="J49" i="4"/>
  <c r="C43" i="4"/>
  <c r="J78" i="4"/>
  <c r="J62" i="4"/>
  <c r="J59" i="4" s="1"/>
  <c r="J23" i="4"/>
  <c r="J11" i="4"/>
  <c r="J10" i="4" s="1"/>
  <c r="C107" i="4"/>
  <c r="C71" i="4"/>
  <c r="J38" i="4"/>
  <c r="J46" i="4"/>
  <c r="C73" i="4"/>
  <c r="C57" i="4"/>
  <c r="C45" i="4"/>
  <c r="J54" i="4"/>
  <c r="J53" i="4" s="1"/>
  <c r="J83" i="4"/>
  <c r="J82" i="4" s="1"/>
  <c r="J68" i="4"/>
  <c r="H96" i="4"/>
  <c r="H95" i="4" s="1"/>
  <c r="C89" i="4"/>
  <c r="C77" i="4"/>
  <c r="C50" i="4"/>
  <c r="E19" i="4"/>
  <c r="C97" i="4"/>
  <c r="C63" i="4"/>
  <c r="C39" i="4"/>
  <c r="C28" i="4"/>
  <c r="C47" i="4"/>
  <c r="C35" i="4"/>
  <c r="C24" i="4"/>
  <c r="C69" i="4"/>
  <c r="E67" i="4"/>
  <c r="C21" i="4"/>
  <c r="I10" i="4"/>
  <c r="I67" i="4"/>
  <c r="G96" i="4"/>
  <c r="G95" i="4" s="1"/>
  <c r="C85" i="4"/>
  <c r="H67" i="4"/>
  <c r="G67" i="4"/>
  <c r="G59" i="4"/>
  <c r="C55" i="4"/>
  <c r="G37" i="4"/>
  <c r="G19" i="4"/>
  <c r="G10" i="4"/>
  <c r="I20" i="5" l="1"/>
  <c r="L20" i="5" s="1"/>
  <c r="L12" i="5"/>
  <c r="G20" i="5"/>
  <c r="D20" i="5" s="1"/>
  <c r="D12" i="5"/>
  <c r="I58" i="4"/>
  <c r="I9" i="4"/>
  <c r="J67" i="4"/>
  <c r="J58" i="4" s="1"/>
  <c r="H9" i="4"/>
  <c r="E9" i="4"/>
  <c r="J96" i="4"/>
  <c r="J95" i="4" s="1"/>
  <c r="E58" i="4"/>
  <c r="C53" i="4"/>
  <c r="C54" i="4"/>
  <c r="H58" i="4"/>
  <c r="H94" i="4" s="1"/>
  <c r="H113" i="4" s="1"/>
  <c r="J37" i="4"/>
  <c r="D22" i="5"/>
  <c r="G33" i="5"/>
  <c r="D33" i="5" s="1"/>
  <c r="J19" i="4"/>
  <c r="G58" i="4"/>
  <c r="K17" i="1"/>
  <c r="N17" i="1" s="1"/>
  <c r="H17" i="1"/>
  <c r="I94" i="4" l="1"/>
  <c r="I113" i="4" s="1"/>
  <c r="E94" i="4"/>
  <c r="E113" i="4" s="1"/>
  <c r="J17" i="1"/>
  <c r="H13" i="1"/>
  <c r="N13" i="1"/>
  <c r="N113" i="1" s="1"/>
  <c r="K13" i="1"/>
  <c r="K113" i="1" s="1"/>
  <c r="J9" i="4"/>
  <c r="J94" i="4" s="1"/>
  <c r="J113" i="4" s="1"/>
  <c r="J13" i="1" l="1"/>
  <c r="G17" i="1"/>
  <c r="J58" i="6"/>
  <c r="O58" i="6" s="1"/>
  <c r="E58" i="6"/>
  <c r="I58" i="6" s="1"/>
  <c r="G13" i="1" l="1"/>
  <c r="G113" i="1" s="1"/>
  <c r="J113" i="1"/>
  <c r="P58" i="6"/>
  <c r="E35" i="6"/>
  <c r="E33" i="6" s="1"/>
  <c r="J73" i="6"/>
  <c r="J69" i="6" s="1"/>
  <c r="O69" i="6" s="1"/>
  <c r="O73" i="6" l="1"/>
  <c r="P73" i="6" s="1"/>
  <c r="I35" i="6"/>
  <c r="I33" i="6" s="1"/>
  <c r="J55" i="6"/>
  <c r="O55" i="6" s="1"/>
  <c r="P55" i="6" s="1"/>
  <c r="J66" i="6"/>
  <c r="J56" i="6"/>
  <c r="O56" i="6" s="1"/>
  <c r="P56" i="6" s="1"/>
  <c r="J37" i="6"/>
  <c r="O37" i="6" s="1"/>
  <c r="P37" i="6" s="1"/>
  <c r="J36" i="6"/>
  <c r="O36" i="6" s="1"/>
  <c r="J35" i="6"/>
  <c r="J33" i="6" s="1"/>
  <c r="E22" i="6"/>
  <c r="I22" i="6" s="1"/>
  <c r="P22" i="6" s="1"/>
  <c r="E26" i="6"/>
  <c r="I26" i="6" s="1"/>
  <c r="P26" i="6" s="1"/>
  <c r="P36" i="6" l="1"/>
  <c r="J63" i="6"/>
  <c r="O63" i="6" s="1"/>
  <c r="O66" i="6"/>
  <c r="P66" i="6" s="1"/>
  <c r="O35" i="6"/>
  <c r="P35" i="6" s="1"/>
  <c r="J53" i="6"/>
  <c r="O53" i="6" s="1"/>
  <c r="E70" i="6"/>
  <c r="E77" i="6"/>
  <c r="I77" i="6" s="1"/>
  <c r="P77" i="6" s="1"/>
  <c r="I70" i="6" l="1"/>
  <c r="P70" i="6" s="1"/>
  <c r="E69" i="6"/>
  <c r="I69" i="6" s="1"/>
  <c r="O33" i="6"/>
  <c r="P33" i="6" s="1"/>
  <c r="J19" i="6"/>
  <c r="J11" i="6" s="1"/>
  <c r="E19" i="6"/>
  <c r="I19" i="6" l="1"/>
  <c r="E11" i="6"/>
  <c r="I11" i="6" s="1"/>
  <c r="O19" i="6"/>
  <c r="P69" i="6"/>
  <c r="J89" i="6"/>
  <c r="E89" i="6"/>
  <c r="I89" i="6" s="1"/>
  <c r="E51" i="6"/>
  <c r="I51" i="6" s="1"/>
  <c r="P51" i="6" s="1"/>
  <c r="P19" i="6" l="1"/>
  <c r="O11" i="6"/>
  <c r="J87" i="6"/>
  <c r="O87" i="6" s="1"/>
  <c r="O89" i="6"/>
  <c r="P89" i="6" s="1"/>
  <c r="H113" i="1"/>
  <c r="I27" i="5" l="1"/>
  <c r="C27" i="5" s="1"/>
  <c r="E27" i="5" s="1"/>
  <c r="F22" i="5"/>
  <c r="I24" i="5"/>
  <c r="C24" i="5" s="1"/>
  <c r="E24" i="5" s="1"/>
  <c r="F14" i="5"/>
  <c r="F13" i="5" l="1"/>
  <c r="C14" i="5"/>
  <c r="E14" i="5" s="1"/>
  <c r="L24" i="5"/>
  <c r="I23" i="5"/>
  <c r="L27" i="5"/>
  <c r="I26" i="5"/>
  <c r="C26" i="5" s="1"/>
  <c r="E26" i="5" s="1"/>
  <c r="F29" i="5"/>
  <c r="C29" i="5" s="1"/>
  <c r="E29" i="5" s="1"/>
  <c r="D38" i="4"/>
  <c r="F38" i="4" s="1"/>
  <c r="C38" i="4" s="1"/>
  <c r="L23" i="5" l="1"/>
  <c r="C23" i="5"/>
  <c r="E23" i="5" s="1"/>
  <c r="F12" i="5"/>
  <c r="C12" i="5" s="1"/>
  <c r="E12" i="5" s="1"/>
  <c r="C13" i="5"/>
  <c r="E13" i="5" s="1"/>
  <c r="I22" i="5"/>
  <c r="L26" i="5"/>
  <c r="F33" i="5"/>
  <c r="E93" i="6"/>
  <c r="I93" i="6" s="1"/>
  <c r="P93" i="6" s="1"/>
  <c r="D62" i="4"/>
  <c r="F62" i="4" s="1"/>
  <c r="C62" i="4" s="1"/>
  <c r="L22" i="5" l="1"/>
  <c r="C22" i="5"/>
  <c r="E22" i="5" s="1"/>
  <c r="I33" i="5"/>
  <c r="L33" i="5" s="1"/>
  <c r="F20" i="5"/>
  <c r="C20" i="5" s="1"/>
  <c r="E20" i="5" s="1"/>
  <c r="D92" i="4"/>
  <c r="D75" i="4"/>
  <c r="F75" i="4" s="1"/>
  <c r="C75" i="4" s="1"/>
  <c r="D34" i="4"/>
  <c r="F34" i="4" s="1"/>
  <c r="C34" i="4" s="1"/>
  <c r="D27" i="4"/>
  <c r="F27" i="4" s="1"/>
  <c r="C27" i="4" s="1"/>
  <c r="D23" i="4"/>
  <c r="F23" i="4" s="1"/>
  <c r="C23" i="4" s="1"/>
  <c r="D11" i="4"/>
  <c r="F11" i="4" s="1"/>
  <c r="C11" i="4" s="1"/>
  <c r="C33" i="5" l="1"/>
  <c r="E33" i="5" s="1"/>
  <c r="D91" i="4"/>
  <c r="F92" i="4"/>
  <c r="C92" i="4" s="1"/>
  <c r="P11" i="6"/>
  <c r="D90" i="4" l="1"/>
  <c r="F90" i="4" s="1"/>
  <c r="C90" i="4" s="1"/>
  <c r="F91" i="4"/>
  <c r="C91" i="4" s="1"/>
  <c r="E87" i="6"/>
  <c r="I87" i="6" s="1"/>
  <c r="P87" i="6" s="1"/>
  <c r="E53" i="6"/>
  <c r="I53" i="6" s="1"/>
  <c r="P53" i="6" s="1"/>
  <c r="E49" i="6"/>
  <c r="D105" i="4"/>
  <c r="F105" i="4" s="1"/>
  <c r="D88" i="4"/>
  <c r="F88" i="4" s="1"/>
  <c r="C88" i="4" s="1"/>
  <c r="D83" i="4"/>
  <c r="D78" i="4"/>
  <c r="F78" i="4" s="1"/>
  <c r="C78" i="4" s="1"/>
  <c r="D68" i="4"/>
  <c r="F68" i="4" s="1"/>
  <c r="C68" i="4" s="1"/>
  <c r="D60" i="4"/>
  <c r="F60" i="4" s="1"/>
  <c r="C60" i="4" s="1"/>
  <c r="G54" i="4"/>
  <c r="D49" i="4"/>
  <c r="F49" i="4" s="1"/>
  <c r="C49" i="4" s="1"/>
  <c r="D46" i="4"/>
  <c r="F46" i="4" s="1"/>
  <c r="C46" i="4" s="1"/>
  <c r="D32" i="4"/>
  <c r="F32" i="4" s="1"/>
  <c r="C32" i="4" s="1"/>
  <c r="D30" i="4"/>
  <c r="F30" i="4" s="1"/>
  <c r="C30" i="4" s="1"/>
  <c r="D20" i="4"/>
  <c r="F20" i="4" s="1"/>
  <c r="C20" i="4" s="1"/>
  <c r="D17" i="4"/>
  <c r="F17" i="4" s="1"/>
  <c r="C17" i="4" s="1"/>
  <c r="I49" i="6" l="1"/>
  <c r="P49" i="6" s="1"/>
  <c r="D82" i="4"/>
  <c r="F82" i="4" s="1"/>
  <c r="C82" i="4" s="1"/>
  <c r="F83" i="4"/>
  <c r="C83" i="4" s="1"/>
  <c r="C105" i="4"/>
  <c r="D67" i="4"/>
  <c r="F67" i="4" s="1"/>
  <c r="C67" i="4" s="1"/>
  <c r="D19" i="4"/>
  <c r="F19" i="4" s="1"/>
  <c r="C19" i="4" s="1"/>
  <c r="D29" i="4"/>
  <c r="F29" i="4" s="1"/>
  <c r="C29" i="4" s="1"/>
  <c r="H98" i="6"/>
  <c r="M98" i="6"/>
  <c r="L98" i="6"/>
  <c r="N98" i="6"/>
  <c r="K98" i="6"/>
  <c r="G98" i="6"/>
  <c r="O98" i="6"/>
  <c r="F98" i="6"/>
  <c r="E63" i="6"/>
  <c r="I63" i="6" s="1"/>
  <c r="P63" i="6" s="1"/>
  <c r="D104" i="4"/>
  <c r="D59" i="4"/>
  <c r="F59" i="4" s="1"/>
  <c r="C59" i="4" s="1"/>
  <c r="D37" i="4"/>
  <c r="F37" i="4" s="1"/>
  <c r="C37" i="4" s="1"/>
  <c r="D10" i="4"/>
  <c r="F10" i="4" s="1"/>
  <c r="C10" i="4" s="1"/>
  <c r="D87" i="4"/>
  <c r="F87" i="4" s="1"/>
  <c r="C87" i="4" s="1"/>
  <c r="G53" i="4"/>
  <c r="G9" i="4" s="1"/>
  <c r="G94" i="4" s="1"/>
  <c r="D102" i="4" l="1"/>
  <c r="F104" i="4"/>
  <c r="J98" i="6"/>
  <c r="D58" i="4"/>
  <c r="F58" i="4" s="1"/>
  <c r="C58" i="4" s="1"/>
  <c r="D9" i="4"/>
  <c r="F9" i="4" s="1"/>
  <c r="C9" i="4" s="1"/>
  <c r="C104" i="4" l="1"/>
  <c r="F102" i="4"/>
  <c r="C102" i="4" s="1"/>
  <c r="D96" i="4"/>
  <c r="D94" i="4"/>
  <c r="F94" i="4" s="1"/>
  <c r="D95" i="4" l="1"/>
  <c r="F95" i="4" s="1"/>
  <c r="F113" i="4" s="1"/>
  <c r="C113" i="4" s="1"/>
  <c r="F96" i="4"/>
  <c r="C96" i="4" s="1"/>
  <c r="G113" i="4"/>
  <c r="D113" i="4" l="1"/>
  <c r="C95" i="4"/>
  <c r="C94" i="4"/>
  <c r="E98" i="6" l="1"/>
  <c r="I98" i="6" s="1"/>
  <c r="P98" i="6" s="1"/>
</calcChain>
</file>

<file path=xl/sharedStrings.xml><?xml version="1.0" encoding="utf-8"?>
<sst xmlns="http://schemas.openxmlformats.org/spreadsheetml/2006/main" count="996" uniqueCount="551">
  <si>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</si>
  <si>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</si>
  <si>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Функціо-нальної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</si>
  <si>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 бюджетної програми згідно з Типовою програмною класифікацією видатків та кредитування місцевих бюджетів</t>
  </si>
  <si>
    <t>Найменування місцевих/регіональних програм</t>
  </si>
  <si>
    <t>Дата та номер документа, яким затверджено місцеву регіональну програму</t>
  </si>
  <si>
    <t>Всього</t>
  </si>
  <si>
    <t>Загальний фонд</t>
  </si>
  <si>
    <t>Спеціальний фонд</t>
  </si>
  <si>
    <t>всього</t>
  </si>
  <si>
    <t>у тому числі бюджет розвитку</t>
  </si>
  <si>
    <t>Міська рада</t>
  </si>
  <si>
    <t>Інші заходи у сфері соціального захисту  і соціального забезпечення</t>
  </si>
  <si>
    <t>Програма соціального захисту населення Долинської міської територіальної громади на 2023-2025 роки</t>
  </si>
  <si>
    <t>04.04.2023    №2103 -30/2023</t>
  </si>
  <si>
    <t>Реалізація інших заходів щодо соціально-економічного розвитку територій</t>
  </si>
  <si>
    <t>Програма розвитку агропромислового комплексу Долинської територіальної громади на 2022-2025 роки</t>
  </si>
  <si>
    <t>18.11.2021 №1126-17/2021</t>
  </si>
  <si>
    <t>Програма розвитку міжнародного співробітництва, туризму, інвестиційної та проектної діяльності на 2022-2025 роки</t>
  </si>
  <si>
    <t>18.11.2021 №1125-17/2021 </t>
  </si>
  <si>
    <t>Програма профілактики злочинності безпеки на території Долинської  ТГ на 2021-2025 роки (Поліцейський громади)</t>
  </si>
  <si>
    <t>Управління освіти</t>
  </si>
  <si>
    <t>Служба у справах дітей</t>
  </si>
  <si>
    <t>Відділ культури</t>
  </si>
  <si>
    <t>Відділ  молоді і спорту</t>
  </si>
  <si>
    <t>Управління з питань житлово-комунального господарства</t>
  </si>
  <si>
    <t>Управління з питань благоустрою та інфраструктури</t>
  </si>
  <si>
    <t>16.03.2023 №2041-29/2023</t>
  </si>
  <si>
    <t>ВСЬОГО</t>
  </si>
  <si>
    <t>0113242</t>
  </si>
  <si>
    <t>0117370</t>
  </si>
  <si>
    <t>Заходи державної політики з питань дітей та їх соціального захисту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</si>
  <si>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</si>
  <si>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</si>
  <si>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03.10.2024 №2909-48/2024</t>
  </si>
  <si>
    <t>03.10.2024 №2903-48/2024</t>
  </si>
  <si>
    <t>Програма попередження дитячої бездоглядності та безпритульності серед дітей, підтримки дітей-сиріт та дітей, позбавлених батьківського піклування та дітей інших соціально незахищених категорій населення Долинської територіальної громади на 2025-2027 роки</t>
  </si>
  <si>
    <t>Програма «Молодь Долинської громади» на 2025-2027 рр.</t>
  </si>
  <si>
    <t>03.10.2024 №2908-48/2024</t>
  </si>
  <si>
    <t>Програма соціально-психологічної підтримки дітей та молоді з синдромом Дауна ГО «Долина СОНЯЧНІ ПРОМІНЧИКИ»  на 2025-2027 роки</t>
  </si>
  <si>
    <t>03.10.2024 №2897-48/2024</t>
  </si>
  <si>
    <t>Програма соціально-психологічної підтримки дітей та молоді з обмеженими функціональними можливостями на 2025-2027 рік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</si>
  <si>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</si>
  <si>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здоров’я</t>
  </si>
  <si>
    <t>03.10.2024 №2896-48/2024</t>
  </si>
  <si>
    <t>Програма підтримки та розвитку установ первинної медичної допомоги на 2025-2027 роки</t>
  </si>
  <si>
    <t>03.10.2024 №2893-48/2024</t>
  </si>
  <si>
    <t>Інші заходи у сфері соціального захисту і соціального забезпечення</t>
  </si>
  <si>
    <t>Програма підтримки психологічної стабілізації та реабілітації військовослужбовців внаслідок поранень, контузій, полону, членів сімей з-агиблих, зниклих безвісти, полонених, які брали участь у захисті України від збройної агресії російської федерації на 2024-2026 роки</t>
  </si>
  <si>
    <t>21.08.2024 №2821-47/2024</t>
  </si>
  <si>
    <t>Програма фінансування мобілізаційних заходів та оборонної роботи Долинської міської ради на 2025-2027 роки</t>
  </si>
  <si>
    <t>Програма забезпечення містобудівною документацією та ведення містобудівного кадастру Долинської ТГ на 2025-2027 роки</t>
  </si>
  <si>
    <t>23.10.2024 №2922- 48/2024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</si>
  <si>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</si>
  <si>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 xml:space="preserve">Про програму відшкодування різниці в тарифах на послуги з централізованого водопостачання і централізованого водовідведення КП «Водоканал» Долинської міської ради на 2025-2027 роки </t>
  </si>
  <si>
    <t>21.11.2024 №2977-50/2024</t>
  </si>
  <si>
    <t>Код</t>
  </si>
  <si>
    <t>Найменування згідно з класифікацією доходів бюджету</t>
  </si>
  <si>
    <t>Усього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</si>
  <si>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</si>
  <si>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</si>
  <si>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</si>
  <si>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</si>
  <si>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</si>
  <si>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</si>
  <si>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</si>
  <si>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</si>
  <si>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</si>
  <si>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</si>
  <si>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</si>
  <si>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</si>
  <si>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</si>
  <si>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</si>
  <si>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</si>
  <si>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</si>
  <si>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</si>
  <si>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</si>
  <si>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</si>
  <si>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</si>
  <si>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</si>
  <si>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</si>
  <si>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</si>
  <si>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</si>
  <si>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</si>
  <si>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</si>
  <si>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</si>
  <si>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</si>
  <si>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</si>
  <si>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</si>
  <si>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</si>
  <si>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</si>
  <si>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</si>
  <si>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</si>
  <si>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</si>
  <si>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</si>
  <si>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</si>
  <si>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</si>
  <si>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відсотків"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</si>
  <si>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</si>
  <si>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</si>
  <si>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вуглецю),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</si>
  <si>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</si>
  <si>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</si>
  <si>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</si>
  <si>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</si>
  <si>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</si>
  <si>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</si>
  <si>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</si>
  <si>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</si>
  <si>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</si>
  <si>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</si>
  <si>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</si>
  <si>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</si>
  <si>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</si>
  <si>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</si>
  <si>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</si>
  <si>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</si>
  <si>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</si>
  <si>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</si>
  <si>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</si>
  <si>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</si>
  <si>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</si>
  <si>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</si>
  <si>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</si>
  <si>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</si>
  <si>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</si>
  <si>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 державного управління</t>
  </si>
  <si>
    <t>Субвенція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</si>
  <si>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</si>
  <si>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</si>
  <si>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 (на оплату праці з нарахуваннями педагогічним працівникам інклюзивно-ресурсних центрів)</t>
  </si>
  <si>
    <t>Інша субвенція з місцевого бюджету, в тому числі</t>
  </si>
  <si>
    <t>з обласного бюджету:</t>
  </si>
  <si>
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</si>
  <si>
    <t>на пільгове медичне обслуговування громадян, які постраждали внаслідок Чорнобильської катастрофи</t>
  </si>
  <si>
    <t>на додаткові виплати ветеранам ОУН-УПА</t>
  </si>
  <si>
    <t>Всього доходів</t>
  </si>
  <si>
    <t>грн</t>
  </si>
  <si>
    <t>Додаток 3 до рішення міської ради</t>
  </si>
  <si>
    <t>Додаток 2 до рішення міської ради</t>
  </si>
  <si>
    <t>Найменування згідно з Класифікацією фінансування бюджету</t>
  </si>
  <si>
    <t>Внутрішнє фінансування</t>
  </si>
  <si>
    <t>Загальне фінансування</t>
  </si>
  <si>
    <t>Фінансування за активними операціями</t>
  </si>
  <si>
    <t>Код програмної класифікації видатків та кредитування місцевих бюджетів</t>
  </si>
  <si>
    <t>Код Функціо-нальної класифікації видатків та кредиту-вання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</si>
  <si>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</si>
  <si>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</si>
  <si>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</si>
  <si>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</si>
  <si>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</si>
  <si>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</si>
  <si>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</si>
  <si>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</si>
  <si>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</si>
  <si>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</si>
  <si>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</si>
  <si>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</si>
  <si>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</si>
  <si>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</si>
  <si>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</si>
  <si>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</si>
  <si>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0111160</t>
  </si>
  <si>
    <t>0990</t>
  </si>
  <si>
    <t>Забезпечення діяльності центрів професійного розвитку педагогічних працівників</t>
  </si>
  <si>
    <t>0111151</t>
  </si>
  <si>
    <t>Забезпечення діяльності інклюзивно-ресурсних центрів за рахунок коштів місцевого бюджету</t>
  </si>
  <si>
    <t>0111152</t>
  </si>
  <si>
    <t>Забезпечення діяльності інклюзивно-ресурсних центрів за рахунок освітньої субвенції</t>
  </si>
  <si>
    <t>0112111</t>
  </si>
  <si>
    <t>0726</t>
  </si>
  <si>
    <t> 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</si>
  <si>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</si>
  <si>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</si>
  <si>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Інші програми та заходи у сфері охорони здоров`я</t>
  </si>
  <si>
    <t>0113033</t>
  </si>
  <si>
    <t>Компенсаційні виплати на пільговий проїзд автомобільним транспортом окремим категоріям громадян</t>
  </si>
  <si>
    <t>0113050</t>
  </si>
  <si>
    <t>Пільгове медичне обслуговування осіб, які постраждали внаслідок Чорнобильської катастрофи</t>
  </si>
  <si>
    <t>0113090</t>
  </si>
  <si>
    <t>Видатки на поховання учасників бойових дій та осіб з інвалідністю внаслідок війни</t>
  </si>
  <si>
    <t>0113104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</si>
  <si>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</si>
  <si>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</si>
  <si>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</si>
  <si>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0109</t>
  </si>
  <si>
    <t>0490</t>
  </si>
  <si>
    <t>0117693</t>
  </si>
  <si>
    <t>Інші заходи, пов'язані з економічною діяльністю</t>
  </si>
  <si>
    <t>06</t>
  </si>
  <si>
    <t>0610160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</si>
  <si>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</si>
  <si>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</si>
  <si>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0611010</t>
  </si>
  <si>
    <t>0910</t>
  </si>
  <si>
    <t>Надання дошкільної освіти міський бюджет</t>
  </si>
  <si>
    <t>0611021</t>
  </si>
  <si>
    <t>0921</t>
  </si>
  <si>
    <t>0611026</t>
  </si>
  <si>
    <t>1026</t>
  </si>
  <si>
    <t>Надання загальної середньої освіти міжшкільними ресурсними центрами за рахунок коштів місцевого бюджету</t>
  </si>
  <si>
    <t>0611031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</si>
  <si>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</si>
  <si>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</si>
  <si>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</si>
  <si>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</si>
  <si>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</si>
  <si>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</si>
  <si>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</si>
  <si>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09</t>
  </si>
  <si>
    <t>0910160</t>
  </si>
  <si>
    <t>0913112</t>
  </si>
  <si>
    <t>0913133</t>
  </si>
  <si>
    <t>Надання спеціальної освіти мистецькими школами</t>
  </si>
  <si>
    <t>0824</t>
  </si>
  <si>
    <t>Забезпечення діяльності бібліотек</t>
  </si>
  <si>
    <t>Забезпечення діяльності музеїв і виставок</t>
  </si>
  <si>
    <t>0828</t>
  </si>
  <si>
    <t>Забезпечення діяльності палаців і будинків культури, клубів, центрів дозвілля та інших клубних закладів</t>
  </si>
  <si>
    <t>0829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</si>
  <si>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</si>
  <si>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</si>
  <si>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0810</t>
  </si>
  <si>
    <t>0640</t>
  </si>
  <si>
    <t>Інша діяльність у сфері житлово-комунального господарства</t>
  </si>
  <si>
    <t>Керівництво і управління у благоустрою населених пунктів</t>
  </si>
  <si>
    <t>0620</t>
  </si>
  <si>
    <t>Організація благоустрою населених пунктів</t>
  </si>
  <si>
    <t>0512</t>
  </si>
  <si>
    <t>Фінансове управління</t>
  </si>
  <si>
    <t>Начальниця фінансового управління</t>
  </si>
  <si>
    <t>Світлана ДЕМЧЕНКО</t>
  </si>
  <si>
    <t>Х</t>
  </si>
  <si>
    <t>Начальниця фінансового управління                                   Світлана ДЕМЧЕНКО</t>
  </si>
  <si>
    <t>Надання загальної середньої освіти закладами загальної середньої освіти за рахунок коштів місцевого бюджету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</si>
  <si>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</si>
  <si>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зобов'язання, що підлягає сплаті фізичними особами</t>
  </si>
  <si>
    <t>Рентна плата за користування надрами місцевого значення</t>
  </si>
  <si>
    <t>Акцизний податок з реалізації суб'єктами господарювання роздрібної торгівлі підакцизних товарів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</si>
  <si>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</si>
  <si>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</si>
  <si>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</si>
  <si>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</si>
  <si>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</si>
  <si>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3719110</t>
  </si>
  <si>
    <t>9110</t>
  </si>
  <si>
    <t>Реверсна дотація</t>
  </si>
  <si>
    <t>Багатопрофільна стаціонарна медична допомога населенню</t>
  </si>
  <si>
    <t>0731</t>
  </si>
  <si>
    <t>2010</t>
  </si>
  <si>
    <t>0112010</t>
  </si>
  <si>
    <t>0117350</t>
  </si>
  <si>
    <t>0117640</t>
  </si>
  <si>
    <t>Розроблення схем планування та забудови територій (містобудівної документації)</t>
  </si>
  <si>
    <t>7350</t>
  </si>
  <si>
    <t>0443</t>
  </si>
  <si>
    <t>Заходи з енергозбереження</t>
  </si>
  <si>
    <t>0470</t>
  </si>
  <si>
    <t>7640</t>
  </si>
  <si>
    <t>(грн.)</t>
  </si>
  <si>
    <t>Фінансування за типом кредитора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</si>
  <si>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</si>
  <si>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</si>
  <si>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</si>
  <si>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</si>
  <si>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 за рахунок зміни залишків коштів місцевих бюджетів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</si>
  <si>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</si>
  <si>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</si>
  <si>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Фінансування бюджету за борговими зобов'язаннями</t>
  </si>
  <si>
    <t>Запозичення</t>
  </si>
  <si>
    <t>Внутрішні запозичення</t>
  </si>
  <si>
    <t>Довгострокові зобов’язання</t>
  </si>
  <si>
    <t>Погашення</t>
  </si>
  <si>
    <t>Внутрішні зобов’язання</t>
  </si>
  <si>
    <t>Зміни обсягів готівкових коштів</t>
  </si>
  <si>
    <t>1211021</t>
  </si>
  <si>
    <t>3718600</t>
  </si>
  <si>
    <t>Забезпечення діяльності водопровідно-каналізаційного господарства</t>
  </si>
  <si>
    <t>21.11.2024 №2978-50/2024</t>
  </si>
  <si>
    <t>Програма діяльності Асоціації «Футбольний клуб «Нафтовик-Долина» на 2025-2027 роки</t>
  </si>
  <si>
    <t>21.11.2024 №2975-50/2024</t>
  </si>
  <si>
    <t>Програма сталого енергетичного розвитку та адаптації до змін клімату Долинської територіальної громади на 2025 - 2027 роки</t>
  </si>
  <si>
    <t>21.11.2024            № 2982-50/2024</t>
  </si>
  <si>
    <t>16.12.2024 №3008-50/2024</t>
  </si>
  <si>
    <t>16.12.2024              № 3007-50/2024</t>
  </si>
  <si>
    <t>Програма розвитку освіти в Долинській міській територіальній громаді на 2025-2027 роки</t>
  </si>
  <si>
    <t>Програма діяльності комунального підприємства "Долина-Інвест" на 2025 -2027 рр.</t>
  </si>
  <si>
    <t>Програма розвитку житлово-комунального господарства на 2025-2027 роки</t>
  </si>
  <si>
    <t>13.12.2024 №2992-50/2024</t>
  </si>
  <si>
    <t>Програма розвитку комунального підприємства «Водоканал» Долинської міської ради на 2025-2027 рр.</t>
  </si>
  <si>
    <t>16.12.2024 №3016-50/2024 </t>
  </si>
  <si>
    <t>Програма соціально-економічного та культурного розвитку Долинської міської територіальної громади на 2025-2027 роки</t>
  </si>
  <si>
    <t>16.12.2024   №3018-50/2024</t>
  </si>
  <si>
    <t>Програма підтримки розвитку місцевого самоврядування в Долинській міській раді на 2025-2027 роки</t>
  </si>
  <si>
    <t>Програма забезпечення виконання рішень суду на 2023-2025  роки</t>
  </si>
  <si>
    <t>02.02.2023 №1950-28/2023</t>
  </si>
  <si>
    <t>Обслуговування місцевого боргу</t>
  </si>
  <si>
    <t>0170</t>
  </si>
  <si>
    <t>8600</t>
  </si>
  <si>
    <t>1210150</t>
  </si>
  <si>
    <t>1211010</t>
  </si>
  <si>
    <t>1215031</t>
  </si>
  <si>
    <t>Заходи, пов'язані з поліпшенням питної води</t>
  </si>
  <si>
    <t>Внески до статутного капіталу суб’єктів господарювання</t>
  </si>
  <si>
    <t>Програма розвитку комунального підприємства «Водоканал» Долинської міської ради на 2025-2027 рр. (Внески до статутного капіталу</t>
  </si>
  <si>
    <t>Програма підтримки та розвитку КП "Долинська центральна аптека № 18" Долинської міської ради на 2025-2027 роки</t>
  </si>
  <si>
    <t>16.12.2024 №3015-50/2024 </t>
  </si>
  <si>
    <t>1214060</t>
  </si>
  <si>
    <t>1211080</t>
  </si>
  <si>
    <t>Програма розвитку фізичної культури та спорту по Долинській міській ТГ на 2025-2027рр.</t>
  </si>
  <si>
    <t>Програма культурно-мистецьких заходів відділу культури Долинської міської ради на 2025-2027 роки</t>
  </si>
  <si>
    <t>Програма благоустрою Долинської ТГ на 2025-2027 рік</t>
  </si>
  <si>
    <t>Програма "Екологічні заходи на 2025-2027 роки"</t>
  </si>
  <si>
    <t>21.11.2024 № 2982-50/2024</t>
  </si>
  <si>
    <t>1.  Показники міжбюджетних трансфертів з інших бюджетів</t>
  </si>
  <si>
    <t>Код класифікації доходів бюджету / Код бюджету</t>
  </si>
  <si>
    <t>Найменування трансферту / найменування бюджету - надавача міжбюджетного трансферту</t>
  </si>
  <si>
    <t>І. Трансферти до загального фонду бюджету</t>
  </si>
  <si>
    <r>
      <t xml:space="preserve">Субвенція з обласного бюджету  </t>
    </r>
    <r>
      <rPr>
        <sz val="10"/>
        <color rgb="FF000000"/>
        <rFont val="Times New Roman"/>
        <family val="1"/>
        <charset val="204"/>
      </rPr>
  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  </r>
  </si>
  <si>
    <r>
      <t xml:space="preserve">Субвенція з обласного бюджету </t>
    </r>
    <r>
      <rPr>
        <sz val="10"/>
        <color rgb="FF000000"/>
        <rFont val="Times New Roman"/>
        <family val="1"/>
        <charset val="204"/>
      </rPr>
      <t xml:space="preserve"> на пільгове медичне обслуговування громадян, які постраждали внаслідок Чорнобильської катастрофи</t>
    </r>
  </si>
  <si>
    <t>Субвенція з обласного бюджету на додаткові виплати ветеранам ОУН-УПА</t>
  </si>
  <si>
    <t>ІІ. Трансферти до спеціального фонду бюджету</t>
  </si>
  <si>
    <t>ВСЬОГО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</si>
  <si>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</si>
  <si>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</si>
  <si>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 бюджетам</t>
  </si>
  <si>
    <t>(грн)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</si>
  <si>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</si>
  <si>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</si>
  <si>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</si>
  <si>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</si>
  <si>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</si>
  <si>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УСЬОГО за розділом І та ІІ, у тому числі:</t>
  </si>
  <si>
    <t>(код бюджету 0953200000)</t>
  </si>
  <si>
    <t>Програма підтримки та розвитку КНП «Долинська багатопрофільна лікарня» на 2025-2027 роки</t>
  </si>
  <si>
    <t>Затверджений план на рік</t>
  </si>
  <si>
    <t>Зміни, що вносяться</t>
  </si>
  <si>
    <t>Уточнений план</t>
  </si>
  <si>
    <t>Затверджено бюджетом з урахуванням змін</t>
  </si>
  <si>
    <t>бюджет розвитку</t>
  </si>
  <si>
    <t xml:space="preserve">Разом </t>
  </si>
  <si>
    <t>Зміни, що вносятся</t>
  </si>
  <si>
    <t>в т.ч. бюджет розвитку</t>
  </si>
  <si>
    <t xml:space="preserve">ВНЕСЕННЯ ЗМІН ДО ДОДАТКУ 2 </t>
  </si>
  <si>
    <t>«Фінансування  бюджету громади на 2025 рік»</t>
  </si>
  <si>
    <t>Зміни до розподілу видатків бюджету громади на 2025 рік</t>
  </si>
  <si>
    <t>Зміни до дохідної частини бюджету громади на 2025 рік</t>
  </si>
  <si>
    <t>Програма соціального захисту населення Долинської міської територіальної громади на 2023-2025 роки (Міська рада)</t>
  </si>
  <si>
    <t>Програма соціального захисту населення Долинської міської територіальної громади на 2023-2025 роки (КЗ "Центр надання соціальних послуг)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</si>
  <si>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</si>
  <si>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</si>
  <si>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</si>
  <si>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</si>
  <si>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</si>
  <si>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</si>
  <si>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</si>
  <si>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0611600</t>
  </si>
  <si>
    <t>1600</t>
  </si>
  <si>
    <t xml:space="preserve">ВНЕСЕННЯ ЗМІН ДО ДОДАТКУ 5 </t>
  </si>
  <si>
    <t>«Міжбюджетні трансферти на 2025 рік»</t>
  </si>
  <si>
    <t>Додатково</t>
  </si>
  <si>
    <t xml:space="preserve"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</si>
  <si>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 xml:space="preserve">Субвенція з державного бюджету місцевим бюджетам на здійснення доплат педагогічним працівникам закладів загальної середньої освіти </t>
  </si>
  <si>
    <t>Субвенція з державного бюджету місцевим бюджетам на надання державної підтримки особам з особливими освітніми потребами</t>
  </si>
  <si>
    <t>На початок періоду</t>
  </si>
  <si>
    <t>Забезпечення харчування учнів початкових класів закладів загальної середньої освіти за рахунок субвенції з державного бюджету місцевим бюджетам</t>
  </si>
  <si>
    <t>Надання загальної середньої освіти закладами загальної середньої освіти за рахунок освітньої субвенції</t>
  </si>
  <si>
    <t>Резервний фонд місцевого бюджету</t>
  </si>
  <si>
    <t xml:space="preserve">ВНЕСЕННЯ ЗМІН ДО ДОДАТКУ 7 </t>
  </si>
  <si>
    <t>«Розподіл витрат  бюджету громади на реалізацію місцевих/регіональних програм у 2025 році»</t>
  </si>
  <si>
    <t>у т.ч.</t>
  </si>
  <si>
    <r>
      <t>Адміністративні штрафи та штрафні санкції за порушення законодавства у сфері виробництва та обігу алкогольних напоїв та тютюнових виробів</t>
    </r>
    <r>
      <rPr>
        <b/>
        <sz val="9"/>
        <color theme="1"/>
        <rFont val="Times New Roman"/>
        <family val="1"/>
        <charset val="204"/>
      </rPr>
      <t xml:space="preserve"> замінити</t>
    </r>
  </si>
  <si>
    <r>
      <t xml:space="preserve">Адміністративний збір за проведення державної реєстрації юридичних осіб,  фізичних осіб – підприємців та громадських формувань </t>
    </r>
    <r>
      <rPr>
        <b/>
        <sz val="9"/>
        <color theme="1"/>
        <rFont val="Times New Roman"/>
        <family val="1"/>
        <charset val="204"/>
      </rPr>
      <t>замінити</t>
    </r>
  </si>
  <si>
    <t>Штрафні санкції, що застосовуються відповідно до Закону України "Про державне регулювання виробництва і обігу спирту етилового,спиртових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пального"</t>
  </si>
  <si>
    <t xml:space="preserve">Адміністративний збір, що справляється відповідно до Закону України "Про державну реєстрацію юридичних осіб, фізичних осіб - підприємців та громадських формувань" </t>
  </si>
  <si>
    <r>
      <t xml:space="preserve"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 </t>
    </r>
    <r>
      <rPr>
        <b/>
        <sz val="9"/>
        <color theme="1"/>
        <rFont val="Times New Roman"/>
        <family val="1"/>
        <charset val="204"/>
      </rPr>
      <t>замінити</t>
    </r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</si>
  <si>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 відповідно до Закону України "Про державну реєстрацію юридичних осіб, фізичних осіб - підприємців та громадських формувань", а також плата за надання інших палтних послуг, пов’язаних з такою реєстрацією</t>
  </si>
  <si>
    <t>Надходження від орендної плати за користування цілісним майновим комплексом та іншим державним майном замінити</t>
  </si>
  <si>
    <t>Надходження від орендної плати за користування єдиним майновим комплексом та іншим державним майном</t>
  </si>
  <si>
    <t>придбання лор-комбайна для КНП "Долинська багатопрофільна лікарня", м.Долина, вул. Оксани Грицей 15, Долинської міської ради Івано-Франківської області</t>
  </si>
  <si>
    <t>придбання оргтехніки та інвентаря, будівельних матеріалів для проведення робіт господарським способом для КЗ "Центр культури і мистецтв"</t>
  </si>
  <si>
    <t>капітальний ремонт І поверху неврологічного корпусу КНП "Долинська багатопрофільна лікарня" по вул. О.Грицей, 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</si>
  <si>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</si>
  <si>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Субвенція з обласного бюджету на придбання оргтехніки та інвентаря, будівельних матеріалів для проведення робіт господарським способом для КЗ "Центр культури і мистецтв"</t>
  </si>
  <si>
    <t>Субвенція з місцевого бюджету на капітальний ремонт І поверху неврологічного корпусу КНП "Долинська багатопрофільна лікарня" по вул. О.Грицей, 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</si>
  <si>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>Субвенція з місцевого бюджету на придбання лор-комбайна для КНП "Долинська багатопрофільна лікарня", м.Долина, вул. Оксани Грицей 15, Долинської міської ради Івано-Франківської області</t>
  </si>
  <si>
    <t>Додаток 4 до рішення міської ради</t>
  </si>
  <si>
    <r>
      <t xml:space="preserve">                                                    Додаток 5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рішення міської ради</t>
    </r>
  </si>
  <si>
    <t>Додаток 6 до рішення міської ради</t>
  </si>
  <si>
    <t>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</t>
  </si>
  <si>
    <t>Назву "Утилізація відходів" змінити на "Оброблення (відновлення, у тому числі сортування, та видалення) відходів"</t>
  </si>
  <si>
    <t>Назву "Утримання та навчально-тренувальна робота комунальних дитячо-юнацьких спортивних шкіл" змінити на "Розвиток здібностей у дітей та молоді з фізичної культури та спорту комунальними дитячо-юнацькими спортивними школами"</t>
  </si>
  <si>
    <t>назву "Інші заходи та заклади молодіжної політики" змінити на "Забезпечення молодіжними центрами соціального становлення та розвитку молоді та інші заходи у сфері молодіжної політики"</t>
  </si>
  <si>
    <t>Додаток 1 до рішення міської ради</t>
  </si>
  <si>
    <t>Розподіл частини залишку коштів, що склався станом на 01 січня 2025 року</t>
  </si>
  <si>
    <t>ТПКВ</t>
  </si>
  <si>
    <t>Назва головного розпорядника, одержувача коштів</t>
  </si>
  <si>
    <t>в тому числі:</t>
  </si>
  <si>
    <t>Примітка</t>
  </si>
  <si>
    <t>поточні видатки</t>
  </si>
  <si>
    <t>капітальні видатки</t>
  </si>
  <si>
    <t>Управління освіти разом</t>
  </si>
  <si>
    <t xml:space="preserve">Керівництво і управління </t>
  </si>
  <si>
    <t>Загальноосвітні заклади</t>
  </si>
  <si>
    <t>Надання загальної середньої освіти міжшкільними ресурсними центрами</t>
  </si>
  <si>
    <t>Надання позашкільної освіти позашкільними закладами освіти</t>
  </si>
  <si>
    <t xml:space="preserve">   Централізована бухгалтерія, господарська група</t>
  </si>
  <si>
    <t>Відділ культури разом</t>
  </si>
  <si>
    <t>Музична школа</t>
  </si>
  <si>
    <t>Художня школа</t>
  </si>
  <si>
    <t>Забезпечення діяльності музеїв i виставок</t>
  </si>
  <si>
    <t>Забезпечення діяльності палаців i будинків культури, клубів</t>
  </si>
  <si>
    <t>Відділ молоді і спорту</t>
  </si>
  <si>
    <t>Управління житлово-комунального господарства</t>
  </si>
  <si>
    <t xml:space="preserve">Апарат управління </t>
  </si>
  <si>
    <t>КЗ "Центр надання соц послуг"</t>
  </si>
  <si>
    <t xml:space="preserve">Міська рада </t>
  </si>
  <si>
    <t>Заробітна плата</t>
  </si>
  <si>
    <t>Нарахування на оплату праці</t>
  </si>
  <si>
    <t>10</t>
  </si>
  <si>
    <t>Надання дошкільної освіти міський бюджет (доплата за несприятливі умови праці)</t>
  </si>
  <si>
    <t>Надання позашкільної освіти позашкільними закладами освіти (доплата за несприятливі умови праці)</t>
  </si>
  <si>
    <t>Надання загальної середньої освіти міжшкільними ресурсними центрами (доплата за несприятливі умови праці)</t>
  </si>
  <si>
    <t xml:space="preserve">Виконання заходів ПРОГРАМ </t>
  </si>
  <si>
    <t>Комплексна програма розвитку цивільного захисту на території громади на 2025-2027 роки</t>
  </si>
  <si>
    <t>Капітальний ремонт захисної споруди цивільного захисту (ПРУ № 30011) Управління Державної казначейської служби України у Долинському районі в м. Долина по вул. Хмельницького, 2а</t>
  </si>
  <si>
    <t>Поточний ремонт та облаштування найпростішого укриття (підвального приміщення)  Надіївського ліцею в с. Надіїв по вул. Шевченка, 31</t>
  </si>
  <si>
    <t xml:space="preserve">Капітальний ремонт та облаштування найпростішого укриття (підвального приміщення) в  КНП «Центр первинної медичної допомоги» Долинської міської ради  в м. Долина  по вул. Степана Бандери, 9 </t>
  </si>
  <si>
    <t>Капітальний ремонт та облаштування найпростішого укриття (підвального приміщення комунальної власності) 1-го відділу Калуського РТЦК та СП в м. Долина  по  вул. Міцкевича, 21</t>
  </si>
  <si>
    <t>Капітальний ремонт та облаштування захисної споруди цивільного захисту (ПРУ № 30049) в м. Долина по вул. Грушевського, 14</t>
  </si>
  <si>
    <t>Облаштування найпростішого укриття та захищених просторів: ЗДО "Золота рибка"- 350,0 тис. грн; ЗДО "Теремок"- 500,0 тис. грн; ЗДО "Зірочка"- 100,0 тис. грн</t>
  </si>
  <si>
    <t>Програма підтримки та розвитку КНП "Долинська багаьтопрофільна лікарня" на 2025-2027 роки</t>
  </si>
  <si>
    <t>Проведення капітального ремонту</t>
  </si>
  <si>
    <t>Програма забезпечення пожежної безпеки на території Долинської ТГ на 2025-2027 роки</t>
  </si>
  <si>
    <t>Програма запобігання виникнення надзвичайних ситуацій природного і техногенного характеру та підвищення рівня готовності 2-ї гірської пошуково-рятувальної групи ГПРЧ АРЗ СП до дій за призначенням на 2025-2027 роки</t>
  </si>
  <si>
    <t>Програма профілактики злочинності на 2021-2025 роки</t>
  </si>
  <si>
    <t>Видатки розвитку</t>
  </si>
  <si>
    <t>придбання модульної котельні для забезпечення Лоп’янецького ліцею альтернативним опаленням, ремонт системи опалення</t>
  </si>
  <si>
    <t>Разом розподіл залишку загального та спеціального фондів</t>
  </si>
  <si>
    <t>Розвиток здібностей у дітей та молоді з фізичної культури та спорту комунальними дитячо-юнацькими спортивними школами</t>
  </si>
  <si>
    <t>КЗ "Центр надання соціальних послуг"</t>
  </si>
  <si>
    <t>Оплата за спожиті енергоносії</t>
  </si>
  <si>
    <t xml:space="preserve">Виплата заробітної плати та нарахування на неї </t>
  </si>
  <si>
    <t>Дофінансування заробітної плати (освітньої субвенції з ДБ)</t>
  </si>
  <si>
    <t>РАЗОМ розподіл вільного залишку загального фонду</t>
  </si>
  <si>
    <t>Утримання та розвиток автомобільних доріг та дорожньої інфраструктури за рахунок коштів місцевого бюджету</t>
  </si>
  <si>
    <t>Програма забезпечення виконання рішень суду на 2023-2025  роки (КП Атека №18)</t>
  </si>
  <si>
    <t>ІІ</t>
  </si>
  <si>
    <t>ІІІ</t>
  </si>
  <si>
    <t>Заходи із запобігання та ліквідації надзвичайних ситуацій та наслідків стихійного лиха</t>
  </si>
  <si>
    <t>Виконання пунктів 1,3,4 Програми  розвитку цивільного захисту на території громади на 2025-2027 роки</t>
  </si>
  <si>
    <t>Субвенція з місцевого бюджету державному бюджету на виконання програм соціально-економічного розвитку регіонів</t>
  </si>
  <si>
    <t>Інші субвенції з місцевого бюджету</t>
  </si>
  <si>
    <t xml:space="preserve">Облаштування найпростішого укриття та захищених просторів в Великотур’янському ліцею
</t>
  </si>
  <si>
    <t xml:space="preserve">Облаштування найпростішого укриття та захищених просторів в Долинському ліцею №5 Долинської міської ради Івано - Франківської області
</t>
  </si>
  <si>
    <t>Надання дошкільної освіти</t>
  </si>
  <si>
    <t xml:space="preserve"> Субвенція з місцевого бюджету державному бюджету на виконання програм соціально-економічного розвитку регіонів</t>
  </si>
  <si>
    <t>виконання пункту 17 Програми</t>
  </si>
  <si>
    <t>виконання пункту 31 Програми</t>
  </si>
  <si>
    <t>ІV</t>
  </si>
  <si>
    <t>8110</t>
  </si>
  <si>
    <t>0320</t>
  </si>
  <si>
    <t>0118110</t>
  </si>
  <si>
    <t>1212152</t>
  </si>
  <si>
    <t>0619770</t>
  </si>
  <si>
    <t>1219770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</si>
  <si>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</si>
  <si>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</si>
  <si>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0611183</t>
  </si>
  <si>
    <t>Комплексна Програма розвитку цивільного захисту на території громади на 2025-2027 роки</t>
  </si>
  <si>
    <t>12.12.2024            № 2987-50/2024</t>
  </si>
  <si>
    <t>28.01.2021        №72-4/2021</t>
  </si>
  <si>
    <t>21.11.2024             № 2969-50/2024</t>
  </si>
  <si>
    <t>Програма запобігання виникнення надзвичайної ситуацій природного та техногенного характеру та підвищення рівна готовності 2-ї спеціалізованої пошуково рятувальної групи СПРЧ АРЗ СП до дій за призначенням на 2025-2027 роки</t>
  </si>
  <si>
    <t>0119800</t>
  </si>
  <si>
    <t>Субвенція з місцевого бюджету державному бюджету на виконання програм соціально-економічного розвитку регіонів (Програма забезпечення пожежної безпеки на території Долинської ТГ на 2025-2027 роки)</t>
  </si>
  <si>
    <t>Субвенція з місцевого бюджету державному бюджету на виконання програм соціально-економічного розвитку регіонів (Програма профілактики злочинності на 2021-2025 роки)</t>
  </si>
  <si>
    <t>Субвенція з місцевого бюджету державному бюджету на виконання програм соціально-економічного розвитку регіонів (Програма запобігання виникнення надзвичайної ситуацій природного та техногенного характеру та підвищення рівна готовності 2-ї спеціалізованої пошуково рятувальної групи СПРЧ АРЗ СП до дій за призначенням на 2025-2027 роки)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</si>
  <si>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0693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</si>
  <si>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2943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</si>
  <si>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3035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</si>
  <si>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1126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</si>
  <si>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0222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</si>
  <si>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2637</t>
  </si>
  <si>
    <t xml:space="preserve">Залишок коштів по спеціальному фонду (бюджет розвитку)  </t>
  </si>
  <si>
    <t>Залишок коштів по спеціальному фонду (міжнародні гранти)</t>
  </si>
  <si>
    <t>Програма підтримки та розвитку КНП "Долинська багатопрофільна лікарня" на 2025-2027 роки</t>
  </si>
  <si>
    <t>забезпечення збільшення розміру виплат родинам загиблих, воїнам УБД – 1733,0 тис. грн, виплата мат. допомог відповідно до подання депутатів – 1100,0 тис. грн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</si>
  <si>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батальйону поліції особливого призначення ГУНП в Івано-Франківській області</t>
  </si>
  <si>
    <t>1017370</t>
  </si>
  <si>
    <t>Програма «Духовне життя» Долинської громади на 2024-2026 роки (Програма соціально-економічного та культурного розвитку Долинської міської територіальної громади на 2025-2027 роки)</t>
  </si>
  <si>
    <t>29.05.2024  №2672-42/2024</t>
  </si>
  <si>
    <t>Програма підтримки Територіального управління Державного бюро розслідувань, розташованого у місті Львові на 2025-2026роки</t>
  </si>
  <si>
    <t>Субвенція з місцевого бюджету державному бюджету на виконання програм соціально-економічного розвитку регіонів (Комплексна Програма розвитку цивільного захисту на території громади на 2025-2027 роки (Капітальний ремонт захисної споруди цивільного захисту (ПРУ № 30011) Управління Державної казначейської служби України у Долинському районі в м. Долина по вул. Хмельницького, 2а)</t>
  </si>
  <si>
    <t>Субвенція з місцевого бюджету державному бюджету на виконання програм соціально-економічного розвитку регіонів (Програма підтримки Територіального управління Державного бюро розслідувань, розташованого у місті Львові на 2025-2026роки (Реконструкція будівлі (здійснення заходів енергозбереження) з облаштуванням захисної споруди цивільного захисту за адресою вул.  Гетьмана Мазепи, 27Б, м. Івано- Франківськ))</t>
  </si>
  <si>
    <r>
      <t>Програма підтримки Територіального управління Державного бюро розслідувань, розташованого у місті Львові на 2025-2026роки (</t>
    </r>
    <r>
      <rPr>
        <sz val="10"/>
        <color rgb="FF000000"/>
        <rFont val="Times New Roman"/>
        <family val="1"/>
        <charset val="204"/>
      </rPr>
      <t>Реконструкція будівлі (здійснення заходів енергозбереження) з облаштуванням захисної споруди цивільного захисту за адресою вул.  Гетьмана Мазепи, 27Б, м. Івано- Франківськ)</t>
    </r>
  </si>
  <si>
    <t xml:space="preserve"> Субвенція з місцевого бюджету державному бюджету на виконання програм соціально -економічного розвитку регіонів</t>
  </si>
  <si>
    <t>Субвенції з  бюджету громади іншим бюджетам</t>
  </si>
  <si>
    <t xml:space="preserve">  28.01.2021      №72-4/2021 </t>
  </si>
  <si>
    <t xml:space="preserve">  13.12.2024          № 2997-50/2024</t>
  </si>
  <si>
    <t xml:space="preserve">   21.11.2024            № 2982-50/2024</t>
  </si>
  <si>
    <r>
      <rPr>
        <b/>
        <sz val="8"/>
        <rFont val="Times New Roman"/>
        <family val="1"/>
        <charset val="204"/>
      </rPr>
      <t>назву</t>
    </r>
    <r>
      <rPr>
        <sz val="8"/>
        <rFont val="Times New Roman"/>
        <family val="1"/>
        <charset val="204"/>
      </rPr>
      <t xml:space="preserve"> "Інші заходи та заклади молодіжної політики" </t>
    </r>
    <r>
      <rPr>
        <b/>
        <sz val="8"/>
        <rFont val="Times New Roman"/>
        <family val="1"/>
        <charset val="204"/>
      </rPr>
      <t>змінити на</t>
    </r>
    <r>
      <rPr>
        <sz val="8"/>
        <rFont val="Times New Roman"/>
        <family val="1"/>
        <charset val="204"/>
      </rPr>
      <t xml:space="preserve"> "Забезпечення молодіжними центрами соціального становлення та розвитку молоді та інші заходи у сфері молодіжної політики"</t>
    </r>
  </si>
  <si>
    <r>
      <rPr>
        <b/>
        <sz val="8"/>
        <color rgb="FF000000"/>
        <rFont val="Times New Roman"/>
        <family val="1"/>
        <charset val="204"/>
      </rPr>
      <t xml:space="preserve">Назву </t>
    </r>
    <r>
      <rPr>
        <sz val="8"/>
        <color rgb="FF000000"/>
        <rFont val="Times New Roman"/>
        <family val="1"/>
        <charset val="204"/>
      </rPr>
      <t xml:space="preserve">"Утримання та навчально-тренувальна робота комунальних дитячо-юнацьких спортивних шкіл" </t>
    </r>
    <r>
      <rPr>
        <b/>
        <sz val="8"/>
        <color rgb="FF000000"/>
        <rFont val="Times New Roman"/>
        <family val="1"/>
        <charset val="204"/>
      </rPr>
      <t>змінити на</t>
    </r>
    <r>
      <rPr>
        <sz val="8"/>
        <color rgb="FF000000"/>
        <rFont val="Times New Roman"/>
        <family val="1"/>
        <charset val="204"/>
      </rPr>
      <t xml:space="preserve"> "Розвиток здібностей у дітей та молоді з фізичної культури та спорту комунальними дитячо-юнацькими спортивними школами"</t>
    </r>
  </si>
  <si>
    <r>
      <rPr>
        <b/>
        <sz val="8"/>
        <rFont val="Times New Roman"/>
        <family val="1"/>
        <charset val="204"/>
      </rPr>
      <t>Назву</t>
    </r>
    <r>
      <rPr>
        <sz val="8"/>
        <rFont val="Times New Roman"/>
        <family val="1"/>
        <charset val="204"/>
      </rPr>
      <t xml:space="preserve"> "Утримання та навчально-тренувальна робота комунальних дитячо-юнацьких спортивних шкіл" </t>
    </r>
    <r>
      <rPr>
        <b/>
        <sz val="8"/>
        <rFont val="Times New Roman"/>
        <family val="1"/>
        <charset val="204"/>
      </rPr>
      <t>змінити на</t>
    </r>
    <r>
      <rPr>
        <sz val="8"/>
        <rFont val="Times New Roman"/>
        <family val="1"/>
        <charset val="204"/>
      </rPr>
      <t xml:space="preserve"> "Розвиток здібностей у дітей та молоді з фізичної культури та спорту комунальними дитячо-юнацькими спортивними школами"</t>
    </r>
  </si>
  <si>
    <t>16.12.2024  №3016-50/2024 </t>
  </si>
  <si>
    <t>Програма реконструкції та утримання кладовищ на 2023-2025 роки</t>
  </si>
  <si>
    <t>25.02.2025  №3097-52/2025 </t>
  </si>
  <si>
    <t>Програма будівництва, ремонту та утримання вулично-дорожньої мережі та підвищення безпеки дорожнього руху Долинської територіальної громади на 2025-2027 роки (Програма соціально-економічного та культурного розвитку Долинської міської територіальної громади на 2025-2027 роки)</t>
  </si>
  <si>
    <r>
      <t xml:space="preserve">Вільний залишок коштів загального фонду, який склався станом на 01.01.2025 – </t>
    </r>
    <r>
      <rPr>
        <b/>
        <sz val="14"/>
        <color theme="1"/>
        <rFont val="Times New Roman"/>
        <family val="1"/>
        <charset val="204"/>
      </rPr>
      <t xml:space="preserve"> 47 840 609</t>
    </r>
    <r>
      <rPr>
        <sz val="14"/>
        <color theme="1"/>
        <rFont val="Times New Roman"/>
        <family val="1"/>
        <charset val="204"/>
      </rPr>
      <t xml:space="preserve"> грн</t>
    </r>
  </si>
  <si>
    <t>Нерозподілений залишок</t>
  </si>
  <si>
    <t xml:space="preserve">Співфінансування заходів, що реалізуються за рахунок субвенції з державного бюджету місцевим бюджетам  на реалізацію публічного інвестиційного проекту на забезпечення  якісної, сучасної та доступної загальної середньої освіти "Нова українська школа" </t>
  </si>
  <si>
    <t>на виконання п. 4.2 Програми фінансування мобілізаційних заходів та оборонної роботи Долинської міської ради на 2025-2027 роки (перелік військових частин наведено у додатку 6 до даного рішення)</t>
  </si>
  <si>
    <t>Субвенція обласному бюджету на співфінансувння капітального ремонту та облаштування найпростішого укриття (підвального приміщення) Долинської дитячої музичної школи імені Мирослава Антоновича  в  м. Долина по  вул. Котляревського, 9" (для КП "БУДІНВЕСТ")</t>
  </si>
  <si>
    <t>1017640</t>
  </si>
  <si>
    <t>1217693</t>
  </si>
  <si>
    <t>Програма забезпечення виконання рішень суду на 2023-2025  роки (КНП "ЦПМД")</t>
  </si>
  <si>
    <t>Програма соціально-економічного та культурного розвитку Долинської міської територіальної громади на 2025-2027 роки (КНП "ДБЛ")</t>
  </si>
  <si>
    <t>1014030</t>
  </si>
  <si>
    <t>Програма реконструкції та утримання кладовищ на 2023-2025 роки (програма соціально-економічного та культурного розвитку Долинської міської територіальної громади на 2025-2027 роки)</t>
  </si>
  <si>
    <t>Програма благоустрою Долинської ТГ на 2025-2027 рік  (програма соціально-економічного та культурного розвитку Долинської міської територіальної громади на 2025-2027 роки)</t>
  </si>
  <si>
    <t>Програма соціально-економічного та культурного розвитку Долинської міської територіальної громади на 2025-2027 роки (основна)</t>
  </si>
  <si>
    <t>Субвенція обласному бюджету на співфінансувння капітального ремонту та облаштування найпростішого укриття (підвального приміщення) Долинського ліцею «Науковий»  в  м. Долина по вул. Грушевського, 24" (для КП "БУДІНВЕСТ")</t>
  </si>
  <si>
    <t>Програма розвитку та утримання мережі вуличного освітлення населених пунктів Долинської територіальної громади на 2025-2027 роки (Програма соціально-економічного та культурного розвитку Долинської міської територіальної громади на 2025-2027 роки)</t>
  </si>
  <si>
    <t>25.02.2025 № 3096-52/2025</t>
  </si>
  <si>
    <t>16.12.2024                   № 3021-50/2024</t>
  </si>
  <si>
    <t>Субвенція обласному бюджету на співфінансування капітального ремонту та облаштування найпростішого укриття (підвального приміщення) Долинського ліцею «Науковий»  в  м. Долина по вул. Грушевського, 24" (для КП "БУДІНВЕСТ")</t>
  </si>
  <si>
    <t>Субвенція обласному бюджету на співфінансування публічного інвестиційного проекту на безперешкодний доступ до якісної освіти - "шкіьні автобуси"</t>
  </si>
  <si>
    <t>0617640</t>
  </si>
  <si>
    <t>16.12.2024              № 3012-50/2024</t>
  </si>
  <si>
    <t>16.12.2024                 №3016-50/2024 </t>
  </si>
  <si>
    <t>16.12.2024           №3006-50/2024</t>
  </si>
  <si>
    <t>03.10.2024           №2898-48/2024</t>
  </si>
  <si>
    <t>03.10.2024        №2899-48/2024</t>
  </si>
  <si>
    <t>29.05.2024                №2672-42/2024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</si>
  <si>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7384</t>
  </si>
  <si>
    <t>Субвенція обласному бюджету на співфінансування капітального ремонту приміщень протирадіаційного укриття (ПРУ) з обліковим номером в Долинському ліцею №6 "Європейський" Долинської міської ради Івано - Франківської області, розташованого за адресою: м.Долина, вул.Степана Бандери, буд. 8. (для КП "БУДІНВЕСТ")</t>
  </si>
  <si>
    <t>Капітальний ремонт І поверху неврологічного корпусу  КНП "Долинська багатопрофільна лікарня" по вул. О.Грицей,15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</si>
  <si>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 xml:space="preserve">Виготовлення проектно-кошторисної документації на Капітальний ремонт найпростішого укриття в приміщенні головного корпусу за літерою «В» в КНП «Долинська багатопрофільна лікарня»  Долинської міської ради Івано-Франківської області, по вул. Оксани Грицей, 15      </t>
  </si>
  <si>
    <r>
      <t>Виготовлення проектно-кошторисної документації (виконати проектні роботи ) по об</t>
    </r>
    <r>
      <rPr>
        <sz val="10"/>
        <color theme="1"/>
        <rFont val="Calibri"/>
        <family val="2"/>
        <charset val="204"/>
      </rPr>
      <t>’</t>
    </r>
    <r>
      <rPr>
        <sz val="10"/>
        <color theme="1"/>
        <rFont val="Times New Roman"/>
        <family val="1"/>
        <charset val="204"/>
      </rPr>
      <t xml:space="preserve">єкту «Реконструкція будівлі  неврологічного відділу за літерою "А" КНП «Долинська багатопрофільна лікарня» під реабілітаційне відділення пацієнтів, в тому числі військовослужбовців по вул.О. Грицей,15 в м. Долина Калуського району Івано-Франківської області»  </t>
    </r>
  </si>
  <si>
    <t>Капітальний ремонт І поверху неврологічного корпусу  КНП "Долинська багатопрофільна  лікарня" " по вул. О.Грицей,15 м.Долина Калуського орайону Івано-Франківської області" (створення умов для лікування, відновлення та реабілітації пацієнтів, в тому числі військовослужбовців)</t>
  </si>
  <si>
    <t>1214030</t>
  </si>
  <si>
    <t>1417370</t>
  </si>
  <si>
    <t>Програма соціально-економічного та культурного розвитку Долинської міської територіальної громади на 2025-2027 роки (КНП "ЦПМД")</t>
  </si>
  <si>
    <t>від 03.04.2025 № 4109-52/2025</t>
  </si>
  <si>
    <t xml:space="preserve">                                                    від 03.04.2025 № 4109-52/2025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</si>
  <si>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4808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</si>
  <si>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4267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</si>
  <si>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1349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</si>
  <si>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3101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</si>
  <si>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1241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</si>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</sst>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00000&quot;  &quot;"/>
    <numFmt numFmtId="165" formatCode="0&quot;     &quot;"/>
    <numFmt numFmtId="166" formatCode="0&quot;    &quot;"/>
    <numFmt numFmtId="167" formatCode="0&quot;  &quot;"/>
    <numFmt numFmtId="168" formatCode="0000&quot;    &quot;"/>
    <numFmt numFmtId="169" formatCode="0000"/>
    <numFmt numFmtId="170" formatCode="0000000"/>
    <numFmt numFmtId="171" formatCode="0000&quot;     &quot;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5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0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2" fillId="0" borderId="0" xfId="0" applyFont="1"/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1" fontId="26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12" fillId="0" borderId="0" xfId="0" applyFont="1"/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/>
    <xf numFmtId="1" fontId="12" fillId="0" borderId="1" xfId="0" applyNumberFormat="1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71" fontId="12" fillId="2" borderId="1" xfId="0" applyNumberFormat="1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vertical="center" wrapText="1"/>
    </xf>
    <xf numFmtId="169" fontId="12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4" fontId="29" fillId="2" borderId="1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30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3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horizontal="right"/>
    </xf>
    <xf numFmtId="49" fontId="2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/>
    <xf numFmtId="4" fontId="25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4" fontId="35" fillId="0" borderId="1" xfId="0" applyNumberFormat="1" applyFont="1" applyBorder="1" applyAlignment="1">
      <alignment horizontal="right" vertical="center" wrapText="1"/>
    </xf>
    <xf numFmtId="4" fontId="37" fillId="0" borderId="1" xfId="0" applyNumberFormat="1" applyFont="1" applyBorder="1" applyAlignment="1">
      <alignment horizontal="right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4" fontId="38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1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4" fontId="36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/>
    </xf>
    <xf numFmtId="167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4" fontId="25" fillId="0" borderId="1" xfId="0" applyNumberFormat="1" applyFont="1" applyBorder="1" applyAlignment="1">
      <alignment horizontal="right" vertical="center"/>
    </xf>
    <xf numFmtId="167" fontId="2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40" fillId="0" borderId="0" xfId="0" applyFont="1"/>
    <xf numFmtId="0" fontId="29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3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42" fillId="0" borderId="1" xfId="0" applyNumberFormat="1" applyFont="1" applyBorder="1" applyAlignment="1">
      <alignment horizontal="right" vertical="center" wrapText="1"/>
    </xf>
    <xf numFmtId="170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vertical="center"/>
    </xf>
    <xf numFmtId="4" fontId="2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1" fillId="0" borderId="0" xfId="0" applyNumberFormat="1" applyFont="1"/>
    <xf numFmtId="4" fontId="13" fillId="0" borderId="0" xfId="0" applyNumberFormat="1" applyFont="1"/>
    <xf numFmtId="4" fontId="14" fillId="0" borderId="1" xfId="0" applyNumberFormat="1" applyFont="1" applyBorder="1" applyAlignment="1">
      <alignment vertical="center"/>
    </xf>
    <xf numFmtId="0" fontId="26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vertical="top" wrapText="1"/>
    </xf>
    <xf numFmtId="0" fontId="26" fillId="0" borderId="12" xfId="0" applyFont="1" applyBorder="1" applyAlignment="1">
      <alignment vertical="top" wrapText="1"/>
    </xf>
    <xf numFmtId="4" fontId="15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0" xfId="0" applyNumberFormat="1"/>
    <xf numFmtId="169" fontId="1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4" fontId="29" fillId="0" borderId="2" xfId="0" applyNumberFormat="1" applyFont="1" applyBorder="1" applyAlignment="1">
      <alignment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4" fontId="25" fillId="0" borderId="1" xfId="0" applyNumberFormat="1" applyFont="1" applyBorder="1" applyAlignment="1">
      <alignment vertical="center"/>
    </xf>
    <xf numFmtId="4" fontId="26" fillId="0" borderId="1" xfId="0" applyNumberFormat="1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4" fontId="29" fillId="2" borderId="1" xfId="0" applyNumberFormat="1" applyFont="1" applyFill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49" fontId="7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0" borderId="0" xfId="0" applyFont="1"/>
    <xf numFmtId="0" fontId="2" fillId="0" borderId="1" xfId="0" applyFont="1" applyBorder="1"/>
    <xf numFmtId="0" fontId="2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4" fontId="2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32" fillId="0" borderId="1" xfId="0" applyFont="1" applyBorder="1" applyAlignment="1">
      <alignment horizontal="left" vertical="top" wrapText="1"/>
    </xf>
    <xf numFmtId="0" fontId="0" fillId="0" borderId="1" xfId="0" applyBorder="1"/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vertical="top" wrapText="1"/>
    </xf>
    <xf numFmtId="4" fontId="43" fillId="0" borderId="1" xfId="0" applyNumberFormat="1" applyFont="1" applyBorder="1" applyAlignment="1">
      <alignment horizontal="center" vertical="center"/>
    </xf>
    <xf numFmtId="4" fontId="43" fillId="0" borderId="1" xfId="0" applyNumberFormat="1" applyFont="1" applyBorder="1" applyAlignment="1">
      <alignment vertical="center"/>
    </xf>
    <xf numFmtId="0" fontId="32" fillId="0" borderId="1" xfId="0" applyFont="1" applyBorder="1" applyAlignment="1">
      <alignment vertical="top" wrapText="1"/>
    </xf>
    <xf numFmtId="49" fontId="4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14" fillId="0" borderId="1" xfId="0" applyFont="1" applyBorder="1" applyAlignment="1">
      <alignment wrapText="1"/>
    </xf>
    <xf numFmtId="0" fontId="44" fillId="0" borderId="1" xfId="0" applyFont="1" applyBorder="1" applyAlignment="1">
      <alignment vertical="top" wrapText="1"/>
    </xf>
    <xf numFmtId="4" fontId="45" fillId="0" borderId="1" xfId="0" applyNumberFormat="1" applyFont="1" applyBorder="1" applyAlignment="1">
      <alignment vertical="center"/>
    </xf>
    <xf numFmtId="0" fontId="19" fillId="0" borderId="1" xfId="0" applyFont="1" applyBorder="1"/>
    <xf numFmtId="4" fontId="19" fillId="0" borderId="1" xfId="0" applyNumberFormat="1" applyFont="1" applyBorder="1"/>
    <xf numFmtId="4" fontId="45" fillId="0" borderId="1" xfId="0" applyNumberFormat="1" applyFont="1" applyBorder="1"/>
    <xf numFmtId="0" fontId="4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43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justify" vertical="top" wrapText="1"/>
    </xf>
    <xf numFmtId="4" fontId="14" fillId="0" borderId="1" xfId="0" applyNumberFormat="1" applyFont="1" applyBorder="1" applyAlignment="1">
      <alignment horizontal="right" wrapText="1"/>
    </xf>
    <xf numFmtId="0" fontId="19" fillId="0" borderId="0" xfId="0" applyFont="1" applyAlignment="1">
      <alignment wrapText="1"/>
    </xf>
    <xf numFmtId="0" fontId="19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4" fillId="0" borderId="4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4" fontId="28" fillId="2" borderId="1" xfId="0" applyNumberFormat="1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vertical="center"/>
    </xf>
    <xf numFmtId="4" fontId="14" fillId="0" borderId="1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24" fillId="0" borderId="7" xfId="0" applyFont="1" applyBorder="1" applyAlignment="1">
      <alignment vertical="center" wrapText="1"/>
    </xf>
    <xf numFmtId="4" fontId="24" fillId="0" borderId="11" xfId="0" applyNumberFormat="1" applyFont="1" applyBorder="1" applyAlignment="1">
      <alignment horizontal="center" vertical="center"/>
    </xf>
    <xf numFmtId="0" fontId="39" fillId="2" borderId="1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right"/>
    </xf>
    <xf numFmtId="0" fontId="12" fillId="0" borderId="4" xfId="0" applyFont="1" applyBorder="1" applyAlignment="1">
      <alignment horizontal="left" vertical="center" wrapText="1"/>
    </xf>
    <xf numFmtId="4" fontId="38" fillId="2" borderId="1" xfId="0" applyNumberFormat="1" applyFont="1" applyFill="1" applyBorder="1" applyAlignment="1">
      <alignment horizontal="right" vertical="center" wrapText="1"/>
    </xf>
    <xf numFmtId="4" fontId="48" fillId="0" borderId="0" xfId="0" applyNumberFormat="1" applyFont="1"/>
    <xf numFmtId="0" fontId="3" fillId="0" borderId="0" xfId="0" applyFont="1" applyAlignment="1">
      <alignment horizontal="center" vertical="center"/>
    </xf>
    <xf numFmtId="0" fontId="39" fillId="0" borderId="2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 vertical="center" wrapText="1"/>
    </xf>
    <xf numFmtId="4" fontId="35" fillId="0" borderId="4" xfId="0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4" fontId="36" fillId="0" borderId="2" xfId="0" applyNumberFormat="1" applyFont="1" applyBorder="1" applyAlignment="1">
      <alignment horizontal="center" vertical="center" wrapText="1"/>
    </xf>
    <xf numFmtId="4" fontId="36" fillId="0" borderId="4" xfId="0" applyNumberFormat="1" applyFont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right" vertical="center" wrapText="1"/>
    </xf>
    <xf numFmtId="4" fontId="35" fillId="0" borderId="4" xfId="0" applyNumberFormat="1" applyFont="1" applyBorder="1" applyAlignment="1">
      <alignment horizontal="right" vertical="center" wrapText="1"/>
    </xf>
    <xf numFmtId="1" fontId="39" fillId="0" borderId="2" xfId="0" applyNumberFormat="1" applyFont="1" applyBorder="1" applyAlignment="1">
      <alignment horizontal="center" vertical="center"/>
    </xf>
    <xf numFmtId="1" fontId="39" fillId="0" borderId="4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49" fontId="25" fillId="0" borderId="7" xfId="0" applyNumberFormat="1" applyFont="1" applyBorder="1" applyAlignment="1">
      <alignment horizontal="left" vertical="center"/>
    </xf>
    <xf numFmtId="49" fontId="25" fillId="0" borderId="11" xfId="0" applyNumberFormat="1" applyFont="1" applyBorder="1" applyAlignment="1">
      <alignment horizontal="left" vertical="center"/>
    </xf>
    <xf numFmtId="49" fontId="25" fillId="0" borderId="3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42" fillId="0" borderId="7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32" fillId="0" borderId="0" xfId="0" applyFont="1"/>
    <xf numFmtId="164" fontId="12" fillId="0" borderId="2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168" fontId="12" fillId="2" borderId="2" xfId="0" applyNumberFormat="1" applyFont="1" applyFill="1" applyBorder="1" applyAlignment="1">
      <alignment horizontal="center" vertical="center" wrapText="1"/>
    </xf>
    <xf numFmtId="168" fontId="12" fillId="2" borderId="6" xfId="0" applyNumberFormat="1" applyFont="1" applyFill="1" applyBorder="1" applyAlignment="1">
      <alignment horizontal="center" vertical="center" wrapText="1"/>
    </xf>
    <xf numFmtId="168" fontId="12" fillId="2" borderId="4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4"/>
  <sheetViews>
    <sheetView topLeftCell="A67" workbookViewId="0">
      <selection activeCell="D67" sqref="D67"/>
    </sheetView>
  </sheetViews>
  <sheetFormatPr defaultRowHeight="15" x14ac:dyDescent="0.25"/>
  <cols>
    <col min="1" max="1" width="11.42578125" customWidth="1"/>
    <col min="2" max="2" width="42.28515625" customWidth="1"/>
    <col min="3" max="3" width="20" customWidth="1"/>
    <col min="4" max="4" width="19.7109375" customWidth="1"/>
    <col min="5" max="5" width="17.7109375" customWidth="1"/>
    <col min="6" max="6" width="70" customWidth="1"/>
    <col min="9" max="9" width="14.85546875" customWidth="1"/>
    <col min="10" max="10" width="17.28515625" customWidth="1"/>
    <col min="11" max="11" width="9.140625" customWidth="1"/>
  </cols>
  <sheetData>
    <row r="1" spans="1:10" ht="18.75" x14ac:dyDescent="0.25">
      <c r="A1" s="22"/>
      <c r="B1" s="22"/>
      <c r="C1" s="22"/>
      <c r="D1" s="9"/>
      <c r="E1" s="9"/>
      <c r="F1" s="9" t="s">
        <v>393</v>
      </c>
      <c r="G1" s="22"/>
      <c r="H1" s="22"/>
      <c r="I1" s="22"/>
      <c r="J1" s="22"/>
    </row>
    <row r="2" spans="1:10" ht="18.75" x14ac:dyDescent="0.25">
      <c r="A2" s="22"/>
      <c r="B2" s="22"/>
      <c r="C2" s="22"/>
      <c r="D2" s="10"/>
      <c r="E2" s="10"/>
      <c r="F2" s="10" t="s">
        <v>543</v>
      </c>
      <c r="G2" s="22"/>
      <c r="H2" s="22"/>
      <c r="I2" s="22"/>
      <c r="J2" s="22"/>
    </row>
    <row r="3" spans="1:10" ht="6.75" customHeight="1" x14ac:dyDescent="0.25">
      <c r="A3" s="22"/>
      <c r="B3" s="22"/>
      <c r="C3" s="22"/>
      <c r="D3" s="10"/>
      <c r="E3" s="10"/>
      <c r="F3" s="10"/>
      <c r="G3" s="22"/>
      <c r="H3" s="22"/>
      <c r="I3" s="22"/>
      <c r="J3" s="22"/>
    </row>
    <row r="4" spans="1:10" ht="18.75" x14ac:dyDescent="0.25">
      <c r="A4" s="245" t="s">
        <v>394</v>
      </c>
      <c r="B4" s="245"/>
      <c r="C4" s="245"/>
      <c r="D4" s="245"/>
      <c r="E4" s="245"/>
      <c r="F4" s="245"/>
      <c r="G4" s="146"/>
      <c r="H4" s="146"/>
      <c r="I4" s="146"/>
      <c r="J4" s="146"/>
    </row>
    <row r="5" spans="1:10" x14ac:dyDescent="0.25">
      <c r="A5" s="23" t="s">
        <v>333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3" customHeight="1" x14ac:dyDescent="0.25">
      <c r="A6" s="23"/>
      <c r="B6" s="22"/>
      <c r="C6" s="22"/>
      <c r="D6" s="22"/>
      <c r="E6" s="22"/>
      <c r="F6" s="123" t="s">
        <v>137</v>
      </c>
      <c r="G6" s="22"/>
      <c r="H6" s="22"/>
      <c r="I6" s="22"/>
      <c r="J6" s="123"/>
    </row>
    <row r="7" spans="1:10" ht="15" customHeight="1" x14ac:dyDescent="0.25">
      <c r="A7" s="255" t="s">
        <v>395</v>
      </c>
      <c r="B7" s="257" t="s">
        <v>396</v>
      </c>
      <c r="C7" s="255" t="s">
        <v>147</v>
      </c>
      <c r="D7" s="259" t="s">
        <v>397</v>
      </c>
      <c r="E7" s="260"/>
      <c r="F7" s="255" t="s">
        <v>398</v>
      </c>
    </row>
    <row r="8" spans="1:10" x14ac:dyDescent="0.25">
      <c r="A8" s="256"/>
      <c r="B8" s="258"/>
      <c r="C8" s="256"/>
      <c r="D8" s="15" t="s">
        <v>399</v>
      </c>
      <c r="E8" s="15" t="s">
        <v>400</v>
      </c>
      <c r="F8" s="256"/>
    </row>
    <row r="9" spans="1:10" x14ac:dyDescent="0.25">
      <c r="A9" s="125">
        <v>1</v>
      </c>
      <c r="B9" s="125">
        <v>2</v>
      </c>
      <c r="C9" s="125">
        <v>3</v>
      </c>
      <c r="D9" s="125">
        <v>4</v>
      </c>
      <c r="E9" s="125">
        <v>5</v>
      </c>
      <c r="F9" s="34">
        <v>6</v>
      </c>
    </row>
    <row r="10" spans="1:10" ht="18.75" x14ac:dyDescent="0.3">
      <c r="A10" s="177"/>
      <c r="B10" s="254" t="s">
        <v>508</v>
      </c>
      <c r="C10" s="254"/>
      <c r="D10" s="254"/>
      <c r="E10" s="254"/>
      <c r="F10" s="254"/>
    </row>
    <row r="11" spans="1:10" ht="18.75" x14ac:dyDescent="0.3">
      <c r="A11" s="178">
        <v>1</v>
      </c>
      <c r="B11" s="179" t="s">
        <v>441</v>
      </c>
      <c r="C11" s="180">
        <f>D11+E11</f>
        <v>7500183</v>
      </c>
      <c r="D11" s="180">
        <f>SUM(D12)+D18+D24+D27+D32</f>
        <v>7500183</v>
      </c>
      <c r="E11" s="180">
        <f>SUM(E12)+E18</f>
        <v>0</v>
      </c>
      <c r="F11" s="177"/>
    </row>
    <row r="12" spans="1:10" ht="18.75" x14ac:dyDescent="0.3">
      <c r="A12" s="124" t="s">
        <v>189</v>
      </c>
      <c r="B12" s="181" t="s">
        <v>401</v>
      </c>
      <c r="C12" s="126">
        <f t="shared" ref="C12" si="0">D12+E12</f>
        <v>4771981</v>
      </c>
      <c r="D12" s="137">
        <f>D13+D14+D15+D16+D17</f>
        <v>4771981</v>
      </c>
      <c r="E12" s="127">
        <f>E13+E14+E15+E16+E17</f>
        <v>0</v>
      </c>
      <c r="F12" s="177"/>
    </row>
    <row r="13" spans="1:10" ht="18.75" x14ac:dyDescent="0.3">
      <c r="A13" s="131" t="s">
        <v>191</v>
      </c>
      <c r="B13" s="132" t="s">
        <v>402</v>
      </c>
      <c r="C13" s="133">
        <f>D13+E13</f>
        <v>8258</v>
      </c>
      <c r="D13" s="127">
        <v>8258</v>
      </c>
      <c r="E13" s="133"/>
      <c r="F13" s="177"/>
    </row>
    <row r="14" spans="1:10" ht="18.75" x14ac:dyDescent="0.3">
      <c r="A14" s="134">
        <v>1021</v>
      </c>
      <c r="B14" s="132" t="s">
        <v>403</v>
      </c>
      <c r="C14" s="133">
        <f>D14+E14</f>
        <v>4509140</v>
      </c>
      <c r="D14" s="135">
        <v>4509140</v>
      </c>
      <c r="E14" s="136"/>
      <c r="F14" s="177"/>
    </row>
    <row r="15" spans="1:10" ht="25.5" x14ac:dyDescent="0.3">
      <c r="A15" s="134">
        <v>1026</v>
      </c>
      <c r="B15" s="16" t="s">
        <v>404</v>
      </c>
      <c r="C15" s="133">
        <f t="shared" ref="C15:C35" si="1">D15+E15</f>
        <v>159572</v>
      </c>
      <c r="D15" s="127">
        <v>159572</v>
      </c>
      <c r="E15" s="137"/>
      <c r="F15" s="177"/>
    </row>
    <row r="16" spans="1:10" ht="25.5" x14ac:dyDescent="0.3">
      <c r="A16" s="134">
        <v>1070</v>
      </c>
      <c r="B16" s="16" t="s">
        <v>405</v>
      </c>
      <c r="C16" s="133">
        <f t="shared" si="1"/>
        <v>79280</v>
      </c>
      <c r="D16" s="127">
        <v>79280</v>
      </c>
      <c r="E16" s="137"/>
      <c r="F16" s="177"/>
    </row>
    <row r="17" spans="1:6" ht="18.75" x14ac:dyDescent="0.3">
      <c r="A17" s="134">
        <v>1141</v>
      </c>
      <c r="B17" s="138" t="s">
        <v>406</v>
      </c>
      <c r="C17" s="133">
        <f t="shared" si="1"/>
        <v>15731</v>
      </c>
      <c r="D17" s="127">
        <v>15731</v>
      </c>
      <c r="E17" s="137"/>
      <c r="F17" s="177"/>
    </row>
    <row r="18" spans="1:6" ht="18.75" x14ac:dyDescent="0.3">
      <c r="A18" s="125">
        <v>10</v>
      </c>
      <c r="B18" s="182" t="s">
        <v>407</v>
      </c>
      <c r="C18" s="126">
        <f t="shared" si="1"/>
        <v>561627</v>
      </c>
      <c r="D18" s="137">
        <f>D19+D20+D21+D22+D23</f>
        <v>561627</v>
      </c>
      <c r="E18" s="126"/>
      <c r="F18" s="177"/>
    </row>
    <row r="19" spans="1:6" ht="18.75" x14ac:dyDescent="0.3">
      <c r="A19" s="134">
        <v>1080</v>
      </c>
      <c r="B19" s="139" t="s">
        <v>408</v>
      </c>
      <c r="C19" s="133">
        <f t="shared" si="1"/>
        <v>116560</v>
      </c>
      <c r="D19" s="127">
        <v>116560</v>
      </c>
      <c r="E19" s="133"/>
      <c r="F19" s="177"/>
    </row>
    <row r="20" spans="1:6" ht="18.75" x14ac:dyDescent="0.3">
      <c r="A20" s="134">
        <v>1080</v>
      </c>
      <c r="B20" s="139" t="s">
        <v>409</v>
      </c>
      <c r="C20" s="133">
        <f t="shared" si="1"/>
        <v>52268</v>
      </c>
      <c r="D20" s="127">
        <v>52268</v>
      </c>
      <c r="E20" s="133"/>
      <c r="F20" s="177"/>
    </row>
    <row r="21" spans="1:6" x14ac:dyDescent="0.25">
      <c r="A21" s="134">
        <v>4030</v>
      </c>
      <c r="B21" s="140" t="s">
        <v>215</v>
      </c>
      <c r="C21" s="133">
        <f t="shared" si="1"/>
        <v>177484</v>
      </c>
      <c r="D21" s="127">
        <v>177484</v>
      </c>
      <c r="E21" s="133"/>
      <c r="F21" s="183"/>
    </row>
    <row r="22" spans="1:6" x14ac:dyDescent="0.25">
      <c r="A22" s="134">
        <v>4040</v>
      </c>
      <c r="B22" s="139" t="s">
        <v>410</v>
      </c>
      <c r="C22" s="133">
        <f t="shared" si="1"/>
        <v>96395</v>
      </c>
      <c r="D22" s="127">
        <v>96395</v>
      </c>
      <c r="E22" s="133"/>
      <c r="F22" s="183"/>
    </row>
    <row r="23" spans="1:6" ht="25.5" x14ac:dyDescent="0.25">
      <c r="A23" s="134">
        <v>4060</v>
      </c>
      <c r="B23" s="139" t="s">
        <v>411</v>
      </c>
      <c r="C23" s="133">
        <f t="shared" si="1"/>
        <v>118920</v>
      </c>
      <c r="D23" s="127">
        <v>118920</v>
      </c>
      <c r="E23" s="133"/>
      <c r="F23" s="183"/>
    </row>
    <row r="24" spans="1:6" x14ac:dyDescent="0.25">
      <c r="A24" s="125">
        <v>11</v>
      </c>
      <c r="B24" s="184" t="s">
        <v>412</v>
      </c>
      <c r="C24" s="126">
        <f t="shared" si="1"/>
        <v>917370</v>
      </c>
      <c r="D24" s="137">
        <f>D25+D26</f>
        <v>917370</v>
      </c>
      <c r="E24" s="133"/>
      <c r="F24" s="183"/>
    </row>
    <row r="25" spans="1:6" ht="37.9" customHeight="1" x14ac:dyDescent="0.25">
      <c r="A25" s="134">
        <v>5031</v>
      </c>
      <c r="B25" s="140" t="s">
        <v>439</v>
      </c>
      <c r="C25" s="133">
        <f t="shared" si="1"/>
        <v>791160</v>
      </c>
      <c r="D25" s="127">
        <f>906660-115500</f>
        <v>791160</v>
      </c>
      <c r="E25" s="133"/>
      <c r="F25" s="183"/>
    </row>
    <row r="26" spans="1:6" x14ac:dyDescent="0.25">
      <c r="A26" s="131" t="s">
        <v>191</v>
      </c>
      <c r="B26" s="132" t="s">
        <v>402</v>
      </c>
      <c r="C26" s="133">
        <f t="shared" si="1"/>
        <v>126210</v>
      </c>
      <c r="D26" s="141">
        <f>10710+115500</f>
        <v>126210</v>
      </c>
      <c r="E26" s="133"/>
      <c r="F26" s="183"/>
    </row>
    <row r="27" spans="1:6" ht="25.5" x14ac:dyDescent="0.25">
      <c r="A27" s="125">
        <v>12</v>
      </c>
      <c r="B27" s="184" t="s">
        <v>413</v>
      </c>
      <c r="C27" s="126">
        <f t="shared" si="1"/>
        <v>682190</v>
      </c>
      <c r="D27" s="127">
        <f>D28+D29+D30+D31</f>
        <v>682190</v>
      </c>
      <c r="E27" s="133"/>
      <c r="F27" s="183"/>
    </row>
    <row r="28" spans="1:6" x14ac:dyDescent="0.25">
      <c r="A28" s="131" t="s">
        <v>191</v>
      </c>
      <c r="B28" s="132" t="s">
        <v>402</v>
      </c>
      <c r="C28" s="133">
        <f t="shared" si="1"/>
        <v>10840</v>
      </c>
      <c r="D28" s="127">
        <v>10840</v>
      </c>
      <c r="E28" s="126"/>
      <c r="F28" s="183"/>
    </row>
    <row r="29" spans="1:6" x14ac:dyDescent="0.25">
      <c r="A29" s="131" t="s">
        <v>155</v>
      </c>
      <c r="B29" s="132" t="s">
        <v>414</v>
      </c>
      <c r="C29" s="133">
        <f t="shared" si="1"/>
        <v>559150</v>
      </c>
      <c r="D29" s="127">
        <v>559150</v>
      </c>
      <c r="E29" s="133"/>
      <c r="F29" s="183"/>
    </row>
    <row r="30" spans="1:6" ht="25.5" x14ac:dyDescent="0.25">
      <c r="A30" s="134">
        <v>4060</v>
      </c>
      <c r="B30" s="139" t="s">
        <v>411</v>
      </c>
      <c r="C30" s="133">
        <f t="shared" si="1"/>
        <v>45000</v>
      </c>
      <c r="D30" s="127">
        <v>45000</v>
      </c>
      <c r="E30" s="133"/>
      <c r="F30" s="183"/>
    </row>
    <row r="31" spans="1:6" ht="25.5" x14ac:dyDescent="0.25">
      <c r="A31" s="134">
        <v>6090</v>
      </c>
      <c r="B31" s="139" t="s">
        <v>287</v>
      </c>
      <c r="C31" s="133">
        <f t="shared" si="1"/>
        <v>67200</v>
      </c>
      <c r="D31" s="127">
        <v>67200</v>
      </c>
      <c r="E31" s="133"/>
      <c r="F31" s="183"/>
    </row>
    <row r="32" spans="1:6" x14ac:dyDescent="0.25">
      <c r="A32" s="124" t="s">
        <v>153</v>
      </c>
      <c r="B32" s="185" t="s">
        <v>11</v>
      </c>
      <c r="C32" s="126">
        <f t="shared" si="1"/>
        <v>567015</v>
      </c>
      <c r="D32" s="137">
        <f>D33+D34+D35</f>
        <v>567015</v>
      </c>
      <c r="E32" s="126"/>
      <c r="F32" s="183"/>
    </row>
    <row r="33" spans="1:6" ht="25.5" x14ac:dyDescent="0.25">
      <c r="A33" s="134">
        <v>2111</v>
      </c>
      <c r="B33" s="139" t="s">
        <v>45</v>
      </c>
      <c r="C33" s="133">
        <f t="shared" si="1"/>
        <v>264595</v>
      </c>
      <c r="D33" s="127">
        <v>264595</v>
      </c>
      <c r="E33" s="133"/>
      <c r="F33" s="183"/>
    </row>
    <row r="34" spans="1:6" ht="38.25" x14ac:dyDescent="0.25">
      <c r="A34" s="134">
        <v>2010</v>
      </c>
      <c r="B34" s="139" t="s">
        <v>334</v>
      </c>
      <c r="C34" s="133">
        <f t="shared" si="1"/>
        <v>281000</v>
      </c>
      <c r="D34" s="127">
        <v>281000</v>
      </c>
      <c r="E34" s="133"/>
      <c r="F34" s="183"/>
    </row>
    <row r="35" spans="1:6" x14ac:dyDescent="0.25">
      <c r="A35" s="142">
        <v>3104</v>
      </c>
      <c r="B35" s="143" t="s">
        <v>440</v>
      </c>
      <c r="C35" s="133">
        <f t="shared" si="1"/>
        <v>21420</v>
      </c>
      <c r="D35" s="127">
        <v>21420</v>
      </c>
      <c r="E35" s="133"/>
      <c r="F35" s="183"/>
    </row>
    <row r="36" spans="1:6" ht="30.6" customHeight="1" x14ac:dyDescent="0.25">
      <c r="A36" s="178" t="s">
        <v>447</v>
      </c>
      <c r="B36" s="112" t="s">
        <v>442</v>
      </c>
      <c r="C36" s="186">
        <f>C41+C51+C37</f>
        <v>5587760</v>
      </c>
      <c r="D36" s="187">
        <f>D41+D51+D37</f>
        <v>5587760</v>
      </c>
      <c r="E36" s="128"/>
      <c r="F36" s="183"/>
    </row>
    <row r="37" spans="1:6" ht="15.75" x14ac:dyDescent="0.25">
      <c r="A37" s="124" t="s">
        <v>153</v>
      </c>
      <c r="B37" s="188" t="s">
        <v>416</v>
      </c>
      <c r="C37" s="126">
        <f t="shared" ref="C37:C40" si="2">D37+E37</f>
        <v>130000</v>
      </c>
      <c r="D37" s="137">
        <f>D38</f>
        <v>130000</v>
      </c>
      <c r="E37" s="128"/>
      <c r="F37" s="183"/>
    </row>
    <row r="38" spans="1:6" ht="15.75" x14ac:dyDescent="0.25">
      <c r="A38" s="125">
        <v>3104</v>
      </c>
      <c r="B38" s="185" t="s">
        <v>415</v>
      </c>
      <c r="C38" s="126">
        <f t="shared" si="2"/>
        <v>130000</v>
      </c>
      <c r="D38" s="137">
        <f>D39+D40</f>
        <v>130000</v>
      </c>
      <c r="E38" s="128"/>
      <c r="F38" s="183"/>
    </row>
    <row r="39" spans="1:6" ht="15.75" x14ac:dyDescent="0.25">
      <c r="A39" s="134">
        <v>2111</v>
      </c>
      <c r="B39" s="139" t="s">
        <v>417</v>
      </c>
      <c r="C39" s="126">
        <f t="shared" si="2"/>
        <v>106000</v>
      </c>
      <c r="D39" s="127">
        <v>106000</v>
      </c>
      <c r="E39" s="128"/>
      <c r="F39" s="183"/>
    </row>
    <row r="40" spans="1:6" ht="15.75" x14ac:dyDescent="0.25">
      <c r="A40" s="134">
        <v>2120</v>
      </c>
      <c r="B40" s="139" t="s">
        <v>418</v>
      </c>
      <c r="C40" s="126">
        <f t="shared" si="2"/>
        <v>24000</v>
      </c>
      <c r="D40" s="127">
        <v>24000</v>
      </c>
      <c r="E40" s="128"/>
      <c r="F40" s="183"/>
    </row>
    <row r="41" spans="1:6" ht="15.75" x14ac:dyDescent="0.25">
      <c r="A41" s="189" t="s">
        <v>419</v>
      </c>
      <c r="B41" s="188" t="s">
        <v>407</v>
      </c>
      <c r="C41" s="126">
        <f>D41+E41</f>
        <v>1113864</v>
      </c>
      <c r="D41" s="137">
        <f>D42+D45+D48</f>
        <v>1113864</v>
      </c>
      <c r="E41" s="133"/>
      <c r="F41" s="183"/>
    </row>
    <row r="42" spans="1:6" ht="25.5" x14ac:dyDescent="0.25">
      <c r="A42" s="125">
        <v>4060</v>
      </c>
      <c r="B42" s="185" t="s">
        <v>411</v>
      </c>
      <c r="C42" s="126">
        <f>D42+E42</f>
        <v>600000</v>
      </c>
      <c r="D42" s="137">
        <f>D43+D44</f>
        <v>600000</v>
      </c>
      <c r="E42" s="133"/>
      <c r="F42" s="183"/>
    </row>
    <row r="43" spans="1:6" x14ac:dyDescent="0.25">
      <c r="A43" s="134">
        <v>2111</v>
      </c>
      <c r="B43" s="139" t="s">
        <v>417</v>
      </c>
      <c r="C43" s="126">
        <f>D43</f>
        <v>491000</v>
      </c>
      <c r="D43" s="127">
        <v>491000</v>
      </c>
      <c r="E43" s="133"/>
      <c r="F43" s="183"/>
    </row>
    <row r="44" spans="1:6" x14ac:dyDescent="0.25">
      <c r="A44" s="134">
        <v>2120</v>
      </c>
      <c r="B44" s="139" t="s">
        <v>418</v>
      </c>
      <c r="C44" s="126">
        <f>D44</f>
        <v>109000</v>
      </c>
      <c r="D44" s="127">
        <v>109000</v>
      </c>
      <c r="E44" s="133"/>
      <c r="F44" s="183"/>
    </row>
    <row r="45" spans="1:6" x14ac:dyDescent="0.25">
      <c r="A45" s="125">
        <v>1080</v>
      </c>
      <c r="B45" s="184" t="s">
        <v>408</v>
      </c>
      <c r="C45" s="126">
        <f t="shared" ref="C45:C50" si="3">D45</f>
        <v>456768</v>
      </c>
      <c r="D45" s="137">
        <f>D46+D47</f>
        <v>456768</v>
      </c>
      <c r="E45" s="133"/>
      <c r="F45" s="183"/>
    </row>
    <row r="46" spans="1:6" x14ac:dyDescent="0.25">
      <c r="A46" s="134">
        <v>2111</v>
      </c>
      <c r="B46" s="139" t="s">
        <v>417</v>
      </c>
      <c r="C46" s="126">
        <f t="shared" si="3"/>
        <v>374400</v>
      </c>
      <c r="D46" s="127">
        <v>374400</v>
      </c>
      <c r="E46" s="133"/>
      <c r="F46" s="183"/>
    </row>
    <row r="47" spans="1:6" x14ac:dyDescent="0.25">
      <c r="A47" s="134">
        <v>2120</v>
      </c>
      <c r="B47" s="139" t="s">
        <v>418</v>
      </c>
      <c r="C47" s="126">
        <f t="shared" si="3"/>
        <v>82368</v>
      </c>
      <c r="D47" s="127">
        <v>82368</v>
      </c>
      <c r="E47" s="133"/>
      <c r="F47" s="183"/>
    </row>
    <row r="48" spans="1:6" x14ac:dyDescent="0.25">
      <c r="A48" s="125">
        <v>1080</v>
      </c>
      <c r="B48" s="184" t="s">
        <v>409</v>
      </c>
      <c r="C48" s="126">
        <f t="shared" si="3"/>
        <v>57096</v>
      </c>
      <c r="D48" s="137">
        <f>D49+D50</f>
        <v>57096</v>
      </c>
      <c r="E48" s="133"/>
      <c r="F48" s="183"/>
    </row>
    <row r="49" spans="1:6" x14ac:dyDescent="0.25">
      <c r="A49" s="134">
        <v>2111</v>
      </c>
      <c r="B49" s="139" t="s">
        <v>417</v>
      </c>
      <c r="C49" s="126">
        <f t="shared" si="3"/>
        <v>46800</v>
      </c>
      <c r="D49" s="127">
        <v>46800</v>
      </c>
      <c r="E49" s="133"/>
      <c r="F49" s="183"/>
    </row>
    <row r="50" spans="1:6" x14ac:dyDescent="0.25">
      <c r="A50" s="134">
        <v>2120</v>
      </c>
      <c r="B50" s="139" t="s">
        <v>418</v>
      </c>
      <c r="C50" s="126">
        <f t="shared" si="3"/>
        <v>10296</v>
      </c>
      <c r="D50" s="127">
        <v>10296</v>
      </c>
      <c r="E50" s="133"/>
      <c r="F50" s="183"/>
    </row>
    <row r="51" spans="1:6" ht="15.75" x14ac:dyDescent="0.25">
      <c r="A51" s="124" t="s">
        <v>189</v>
      </c>
      <c r="B51" s="190" t="s">
        <v>401</v>
      </c>
      <c r="C51" s="126">
        <f>D51+E51</f>
        <v>4343896</v>
      </c>
      <c r="D51" s="137">
        <f>D52+D55+D59+D62</f>
        <v>4343896</v>
      </c>
      <c r="E51" s="133"/>
      <c r="F51" s="183"/>
    </row>
    <row r="52" spans="1:6" ht="25.5" x14ac:dyDescent="0.25">
      <c r="A52" s="125">
        <v>1010</v>
      </c>
      <c r="B52" s="12" t="s">
        <v>420</v>
      </c>
      <c r="C52" s="126">
        <f t="shared" ref="C52:C64" si="4">D52+E52</f>
        <v>1393714</v>
      </c>
      <c r="D52" s="137">
        <f>D53+D54</f>
        <v>1393714</v>
      </c>
      <c r="E52" s="133"/>
      <c r="F52" s="183"/>
    </row>
    <row r="53" spans="1:6" x14ac:dyDescent="0.25">
      <c r="A53" s="134">
        <v>2111</v>
      </c>
      <c r="B53" s="139" t="s">
        <v>417</v>
      </c>
      <c r="C53" s="126">
        <f t="shared" si="4"/>
        <v>1142388</v>
      </c>
      <c r="D53" s="127">
        <v>1142388</v>
      </c>
      <c r="E53" s="133"/>
      <c r="F53" s="183"/>
    </row>
    <row r="54" spans="1:6" x14ac:dyDescent="0.25">
      <c r="A54" s="134">
        <v>2120</v>
      </c>
      <c r="B54" s="139" t="s">
        <v>418</v>
      </c>
      <c r="C54" s="126">
        <f t="shared" si="4"/>
        <v>251326</v>
      </c>
      <c r="D54" s="127">
        <v>251326</v>
      </c>
      <c r="E54" s="133"/>
      <c r="F54" s="183"/>
    </row>
    <row r="55" spans="1:6" ht="39" x14ac:dyDescent="0.25">
      <c r="A55" s="125">
        <v>1021</v>
      </c>
      <c r="B55" s="191" t="s">
        <v>234</v>
      </c>
      <c r="C55" s="126">
        <f t="shared" si="4"/>
        <v>2661562</v>
      </c>
      <c r="D55" s="137">
        <f>D56</f>
        <v>2661562</v>
      </c>
      <c r="E55" s="133"/>
      <c r="F55" s="183"/>
    </row>
    <row r="56" spans="1:6" ht="27" x14ac:dyDescent="0.25">
      <c r="A56" s="134"/>
      <c r="B56" s="192" t="s">
        <v>443</v>
      </c>
      <c r="C56" s="126">
        <f t="shared" si="4"/>
        <v>2661562</v>
      </c>
      <c r="D56" s="137">
        <f>D57+D58</f>
        <v>2661562</v>
      </c>
      <c r="E56" s="133"/>
      <c r="F56" s="183"/>
    </row>
    <row r="57" spans="1:6" x14ac:dyDescent="0.25">
      <c r="A57" s="134">
        <v>2111</v>
      </c>
      <c r="B57" s="139" t="s">
        <v>417</v>
      </c>
      <c r="C57" s="126">
        <f t="shared" si="4"/>
        <v>2241757</v>
      </c>
      <c r="D57" s="127">
        <v>2241757</v>
      </c>
      <c r="E57" s="133"/>
      <c r="F57" s="183"/>
    </row>
    <row r="58" spans="1:6" x14ac:dyDescent="0.25">
      <c r="A58" s="134">
        <v>2120</v>
      </c>
      <c r="B58" s="139" t="s">
        <v>418</v>
      </c>
      <c r="C58" s="126">
        <f t="shared" si="4"/>
        <v>419805</v>
      </c>
      <c r="D58" s="127">
        <v>419805</v>
      </c>
      <c r="E58" s="133"/>
      <c r="F58" s="183"/>
    </row>
    <row r="59" spans="1:6" ht="38.25" x14ac:dyDescent="0.25">
      <c r="A59" s="125">
        <v>1070</v>
      </c>
      <c r="B59" s="12" t="s">
        <v>421</v>
      </c>
      <c r="C59" s="126">
        <f t="shared" si="4"/>
        <v>126848</v>
      </c>
      <c r="D59" s="193">
        <f>D60+D61</f>
        <v>126848</v>
      </c>
      <c r="E59" s="194"/>
      <c r="F59" s="183"/>
    </row>
    <row r="60" spans="1:6" x14ac:dyDescent="0.25">
      <c r="A60" s="134">
        <v>2111</v>
      </c>
      <c r="B60" s="139" t="s">
        <v>417</v>
      </c>
      <c r="C60" s="126">
        <f t="shared" si="4"/>
        <v>103974</v>
      </c>
      <c r="D60" s="195">
        <v>103974</v>
      </c>
      <c r="E60" s="194"/>
      <c r="F60" s="183"/>
    </row>
    <row r="61" spans="1:6" x14ac:dyDescent="0.25">
      <c r="A61" s="134">
        <v>2120</v>
      </c>
      <c r="B61" s="139" t="s">
        <v>418</v>
      </c>
      <c r="C61" s="126">
        <f t="shared" si="4"/>
        <v>22874</v>
      </c>
      <c r="D61" s="195">
        <v>22874</v>
      </c>
      <c r="E61" s="194"/>
      <c r="F61" s="183"/>
    </row>
    <row r="62" spans="1:6" ht="38.25" x14ac:dyDescent="0.25">
      <c r="A62" s="125">
        <v>1026</v>
      </c>
      <c r="B62" s="12" t="s">
        <v>422</v>
      </c>
      <c r="C62" s="126">
        <f t="shared" si="4"/>
        <v>161772</v>
      </c>
      <c r="D62" s="193">
        <f>D63+D64</f>
        <v>161772</v>
      </c>
      <c r="E62" s="194"/>
      <c r="F62" s="183"/>
    </row>
    <row r="63" spans="1:6" x14ac:dyDescent="0.25">
      <c r="A63" s="134">
        <v>2111</v>
      </c>
      <c r="B63" s="139" t="s">
        <v>417</v>
      </c>
      <c r="C63" s="126">
        <f t="shared" si="4"/>
        <v>132600</v>
      </c>
      <c r="D63" s="195">
        <v>132600</v>
      </c>
      <c r="E63" s="194"/>
      <c r="F63" s="183"/>
    </row>
    <row r="64" spans="1:6" x14ac:dyDescent="0.25">
      <c r="A64" s="134">
        <v>2120</v>
      </c>
      <c r="B64" s="139" t="s">
        <v>418</v>
      </c>
      <c r="C64" s="126">
        <f t="shared" si="4"/>
        <v>29172</v>
      </c>
      <c r="D64" s="195">
        <v>29172</v>
      </c>
      <c r="E64" s="194"/>
      <c r="F64" s="183"/>
    </row>
    <row r="65" spans="1:6" ht="15.75" x14ac:dyDescent="0.25">
      <c r="A65" s="178" t="s">
        <v>448</v>
      </c>
      <c r="B65" s="188" t="s">
        <v>423</v>
      </c>
      <c r="C65" s="129">
        <f>D65+E65</f>
        <v>25033640</v>
      </c>
      <c r="D65" s="196">
        <f>D66+D83+D84+D88+D89+D91+D92+D94+D95</f>
        <v>7233000</v>
      </c>
      <c r="E65" s="196">
        <f>E66+E83+E84+E88+E89+E91+E92+E94+E95+E90</f>
        <v>17800640</v>
      </c>
      <c r="F65" s="183"/>
    </row>
    <row r="66" spans="1:6" ht="30.6" customHeight="1" x14ac:dyDescent="0.25">
      <c r="A66" s="134"/>
      <c r="B66" s="185" t="s">
        <v>424</v>
      </c>
      <c r="C66" s="129">
        <f t="shared" ref="C66:C68" si="5">D66+E66</f>
        <v>6700000</v>
      </c>
      <c r="D66" s="129">
        <f>D67+D70+D76</f>
        <v>1050000</v>
      </c>
      <c r="E66" s="129">
        <f>E67+E70+E76</f>
        <v>5650000</v>
      </c>
      <c r="F66" s="16"/>
    </row>
    <row r="67" spans="1:6" x14ac:dyDescent="0.25">
      <c r="A67" s="134"/>
      <c r="B67" s="197" t="s">
        <v>11</v>
      </c>
      <c r="C67" s="129">
        <f t="shared" si="5"/>
        <v>450000</v>
      </c>
      <c r="D67" s="129">
        <f>D68+D69</f>
        <v>300000</v>
      </c>
      <c r="E67" s="129">
        <f>E68+E69</f>
        <v>150000</v>
      </c>
      <c r="F67" s="16"/>
    </row>
    <row r="68" spans="1:6" ht="25.5" x14ac:dyDescent="0.25">
      <c r="A68" s="125">
        <v>8110</v>
      </c>
      <c r="B68" s="198" t="s">
        <v>449</v>
      </c>
      <c r="C68" s="129">
        <f t="shared" si="5"/>
        <v>300000</v>
      </c>
      <c r="D68" s="130">
        <f>100000+100000+100000</f>
        <v>300000</v>
      </c>
      <c r="E68" s="130"/>
      <c r="F68" s="16" t="s">
        <v>450</v>
      </c>
    </row>
    <row r="69" spans="1:6" ht="38.25" x14ac:dyDescent="0.25">
      <c r="A69" s="125">
        <v>9800</v>
      </c>
      <c r="B69" s="16" t="s">
        <v>451</v>
      </c>
      <c r="C69" s="129">
        <f>D69+E69</f>
        <v>150000</v>
      </c>
      <c r="D69" s="130"/>
      <c r="E69" s="130">
        <v>150000</v>
      </c>
      <c r="F69" s="199" t="s">
        <v>425</v>
      </c>
    </row>
    <row r="70" spans="1:6" ht="28.5" x14ac:dyDescent="0.25">
      <c r="A70" s="134"/>
      <c r="B70" s="200" t="s">
        <v>413</v>
      </c>
      <c r="C70" s="129">
        <f t="shared" ref="C70:C87" si="6">D70+E70</f>
        <v>1600000</v>
      </c>
      <c r="D70" s="129">
        <f>SUM(D71:D75)</f>
        <v>200000</v>
      </c>
      <c r="E70" s="129">
        <f>SUM(E71:E75)</f>
        <v>1400000</v>
      </c>
      <c r="F70" s="199"/>
    </row>
    <row r="71" spans="1:6" ht="38.25" x14ac:dyDescent="0.25">
      <c r="A71" s="125">
        <v>1021</v>
      </c>
      <c r="B71" s="16" t="s">
        <v>234</v>
      </c>
      <c r="C71" s="129">
        <f t="shared" si="6"/>
        <v>200000</v>
      </c>
      <c r="D71" s="130">
        <v>200000</v>
      </c>
      <c r="E71" s="130"/>
      <c r="F71" s="199" t="s">
        <v>426</v>
      </c>
    </row>
    <row r="72" spans="1:6" ht="38.25" x14ac:dyDescent="0.25">
      <c r="A72" s="125">
        <v>2152</v>
      </c>
      <c r="B72" s="16" t="s">
        <v>174</v>
      </c>
      <c r="C72" s="129">
        <f t="shared" si="6"/>
        <v>500000</v>
      </c>
      <c r="D72" s="130"/>
      <c r="E72" s="130">
        <v>500000</v>
      </c>
      <c r="F72" s="199" t="s">
        <v>427</v>
      </c>
    </row>
    <row r="73" spans="1:6" ht="38.25" x14ac:dyDescent="0.25">
      <c r="A73" s="125">
        <v>6090</v>
      </c>
      <c r="B73" s="16" t="s">
        <v>224</v>
      </c>
      <c r="C73" s="129">
        <f t="shared" si="6"/>
        <v>300000</v>
      </c>
      <c r="D73" s="130"/>
      <c r="E73" s="130">
        <v>300000</v>
      </c>
      <c r="F73" s="199" t="s">
        <v>428</v>
      </c>
    </row>
    <row r="74" spans="1:6" ht="25.5" x14ac:dyDescent="0.25">
      <c r="A74" s="125">
        <v>6090</v>
      </c>
      <c r="B74" s="16" t="s">
        <v>224</v>
      </c>
      <c r="C74" s="129">
        <f t="shared" si="6"/>
        <v>300000</v>
      </c>
      <c r="D74" s="130"/>
      <c r="E74" s="130">
        <v>300000</v>
      </c>
      <c r="F74" s="199" t="s">
        <v>429</v>
      </c>
    </row>
    <row r="75" spans="1:6" ht="51" x14ac:dyDescent="0.25">
      <c r="A75" s="125">
        <v>9700</v>
      </c>
      <c r="B75" s="16" t="s">
        <v>452</v>
      </c>
      <c r="C75" s="129">
        <f t="shared" si="6"/>
        <v>300000</v>
      </c>
      <c r="D75" s="130"/>
      <c r="E75" s="130">
        <v>300000</v>
      </c>
      <c r="F75" s="199" t="s">
        <v>512</v>
      </c>
    </row>
    <row r="76" spans="1:6" x14ac:dyDescent="0.25">
      <c r="A76" s="125"/>
      <c r="B76" s="200" t="s">
        <v>21</v>
      </c>
      <c r="C76" s="129">
        <f>D76+E76</f>
        <v>4650000</v>
      </c>
      <c r="D76" s="129">
        <f>SUM(D77:D81)</f>
        <v>550000</v>
      </c>
      <c r="E76" s="129">
        <f>SUM(E77:E81)</f>
        <v>4100000</v>
      </c>
      <c r="F76" s="199"/>
    </row>
    <row r="77" spans="1:6" ht="38.25" x14ac:dyDescent="0.25">
      <c r="A77" s="125">
        <v>9700</v>
      </c>
      <c r="B77" s="16" t="s">
        <v>452</v>
      </c>
      <c r="C77" s="129">
        <f t="shared" si="6"/>
        <v>700000</v>
      </c>
      <c r="D77" s="130"/>
      <c r="E77" s="130">
        <v>700000</v>
      </c>
      <c r="F77" s="199" t="s">
        <v>521</v>
      </c>
    </row>
    <row r="78" spans="1:6" ht="38.25" x14ac:dyDescent="0.25">
      <c r="A78" s="125">
        <v>1021</v>
      </c>
      <c r="B78" s="16" t="s">
        <v>234</v>
      </c>
      <c r="C78" s="129">
        <f t="shared" si="6"/>
        <v>100000</v>
      </c>
      <c r="D78" s="130">
        <v>100000</v>
      </c>
      <c r="E78" s="130"/>
      <c r="F78" s="201" t="s">
        <v>453</v>
      </c>
    </row>
    <row r="79" spans="1:6" ht="38.25" x14ac:dyDescent="0.25">
      <c r="A79" s="125">
        <v>1021</v>
      </c>
      <c r="B79" s="16" t="s">
        <v>234</v>
      </c>
      <c r="C79" s="129"/>
      <c r="D79" s="130"/>
      <c r="E79" s="130">
        <v>1450000</v>
      </c>
      <c r="F79" s="201" t="s">
        <v>454</v>
      </c>
    </row>
    <row r="80" spans="1:6" ht="63.75" x14ac:dyDescent="0.25">
      <c r="A80" s="125">
        <v>9700</v>
      </c>
      <c r="B80" s="16" t="s">
        <v>452</v>
      </c>
      <c r="C80" s="129">
        <f t="shared" si="6"/>
        <v>1450000</v>
      </c>
      <c r="D80" s="202"/>
      <c r="E80" s="130">
        <v>1450000</v>
      </c>
      <c r="F80" s="16" t="s">
        <v>535</v>
      </c>
    </row>
    <row r="81" spans="1:6" ht="28.5" customHeight="1" x14ac:dyDescent="0.25">
      <c r="A81" s="125">
        <v>1010</v>
      </c>
      <c r="B81" s="16" t="s">
        <v>455</v>
      </c>
      <c r="C81" s="129">
        <f t="shared" si="6"/>
        <v>950000</v>
      </c>
      <c r="D81" s="130">
        <f>350000+100000</f>
        <v>450000</v>
      </c>
      <c r="E81" s="130">
        <v>500000</v>
      </c>
      <c r="F81" s="199" t="s">
        <v>430</v>
      </c>
    </row>
    <row r="82" spans="1:6" x14ac:dyDescent="0.25">
      <c r="A82" s="124" t="s">
        <v>153</v>
      </c>
      <c r="B82" s="200" t="s">
        <v>11</v>
      </c>
      <c r="C82" s="129"/>
      <c r="D82" s="130"/>
      <c r="E82" s="130"/>
      <c r="F82" s="199"/>
    </row>
    <row r="83" spans="1:6" ht="41.25" customHeight="1" x14ac:dyDescent="0.25">
      <c r="A83" s="125">
        <v>9800</v>
      </c>
      <c r="B83" s="12" t="s">
        <v>496</v>
      </c>
      <c r="C83" s="129">
        <f t="shared" si="6"/>
        <v>5000000</v>
      </c>
      <c r="D83" s="107"/>
      <c r="E83" s="107">
        <v>5000000</v>
      </c>
      <c r="F83" s="18" t="s">
        <v>511</v>
      </c>
    </row>
    <row r="84" spans="1:6" ht="30" x14ac:dyDescent="0.25">
      <c r="A84" s="125">
        <v>2152</v>
      </c>
      <c r="B84" s="203" t="s">
        <v>174</v>
      </c>
      <c r="C84" s="129">
        <f t="shared" si="6"/>
        <v>2100640</v>
      </c>
      <c r="D84" s="129">
        <f>D85+D87</f>
        <v>0</v>
      </c>
      <c r="E84" s="129">
        <f>E85+E87+E86</f>
        <v>2100640</v>
      </c>
      <c r="F84" s="12" t="s">
        <v>486</v>
      </c>
    </row>
    <row r="85" spans="1:6" ht="51" x14ac:dyDescent="0.25">
      <c r="A85" s="134"/>
      <c r="B85" s="204" t="s">
        <v>432</v>
      </c>
      <c r="C85" s="129">
        <f t="shared" si="6"/>
        <v>350640</v>
      </c>
      <c r="D85" s="130"/>
      <c r="E85" s="130">
        <f>1200000-849360</f>
        <v>350640</v>
      </c>
      <c r="F85" s="16" t="s">
        <v>536</v>
      </c>
    </row>
    <row r="86" spans="1:6" ht="60" customHeight="1" x14ac:dyDescent="0.25">
      <c r="A86" s="134"/>
      <c r="B86" s="204" t="s">
        <v>432</v>
      </c>
      <c r="C86" s="129">
        <f t="shared" si="6"/>
        <v>250000</v>
      </c>
      <c r="D86" s="130"/>
      <c r="E86" s="130">
        <v>250000</v>
      </c>
      <c r="F86" s="16" t="s">
        <v>537</v>
      </c>
    </row>
    <row r="87" spans="1:6" ht="63.75" x14ac:dyDescent="0.25">
      <c r="A87" s="134"/>
      <c r="B87" s="204" t="s">
        <v>432</v>
      </c>
      <c r="C87" s="129">
        <f t="shared" si="6"/>
        <v>1500000</v>
      </c>
      <c r="D87" s="130"/>
      <c r="E87" s="130">
        <v>1500000</v>
      </c>
      <c r="F87" s="205" t="s">
        <v>538</v>
      </c>
    </row>
    <row r="88" spans="1:6" ht="38.25" x14ac:dyDescent="0.25">
      <c r="A88" s="125">
        <v>9800</v>
      </c>
      <c r="B88" s="12" t="s">
        <v>496</v>
      </c>
      <c r="C88" s="129">
        <f>D88+E88</f>
        <v>500000</v>
      </c>
      <c r="D88" s="130">
        <v>500000</v>
      </c>
      <c r="E88" s="130"/>
      <c r="F88" s="12" t="s">
        <v>433</v>
      </c>
    </row>
    <row r="89" spans="1:6" ht="38.25" x14ac:dyDescent="0.25">
      <c r="A89" s="125">
        <v>9800</v>
      </c>
      <c r="B89" s="12" t="s">
        <v>496</v>
      </c>
      <c r="C89" s="129">
        <f>D89+E89</f>
        <v>100000</v>
      </c>
      <c r="D89" s="130">
        <v>100000</v>
      </c>
      <c r="E89" s="130"/>
      <c r="F89" s="12" t="s">
        <v>434</v>
      </c>
    </row>
    <row r="90" spans="1:6" ht="51" x14ac:dyDescent="0.25">
      <c r="A90" s="125">
        <v>9800</v>
      </c>
      <c r="B90" s="12" t="s">
        <v>456</v>
      </c>
      <c r="C90" s="129">
        <f>D90+E90</f>
        <v>300000</v>
      </c>
      <c r="D90" s="130"/>
      <c r="E90" s="130">
        <v>300000</v>
      </c>
      <c r="F90" s="12" t="s">
        <v>495</v>
      </c>
    </row>
    <row r="91" spans="1:6" ht="51.6" customHeight="1" x14ac:dyDescent="0.25">
      <c r="A91" s="125">
        <v>9800</v>
      </c>
      <c r="B91" s="12" t="s">
        <v>456</v>
      </c>
      <c r="C91" s="129">
        <f>D91+E91</f>
        <v>250000</v>
      </c>
      <c r="D91" s="206">
        <v>250000</v>
      </c>
      <c r="E91" s="207"/>
      <c r="F91" s="16" t="s">
        <v>435</v>
      </c>
    </row>
    <row r="92" spans="1:6" ht="44.45" customHeight="1" x14ac:dyDescent="0.25">
      <c r="A92" s="125">
        <v>3242</v>
      </c>
      <c r="B92" s="12" t="s">
        <v>13</v>
      </c>
      <c r="C92" s="129">
        <f>D92+E92</f>
        <v>2833000</v>
      </c>
      <c r="D92" s="206">
        <f>1733000+1100000</f>
        <v>2833000</v>
      </c>
      <c r="E92" s="130"/>
      <c r="F92" s="16" t="s">
        <v>487</v>
      </c>
    </row>
    <row r="93" spans="1:6" ht="28.5" x14ac:dyDescent="0.25">
      <c r="A93" s="125">
        <v>12</v>
      </c>
      <c r="B93" s="200" t="s">
        <v>413</v>
      </c>
      <c r="C93" s="129"/>
      <c r="D93" s="206"/>
      <c r="E93" s="130"/>
      <c r="F93" s="16"/>
    </row>
    <row r="94" spans="1:6" x14ac:dyDescent="0.25">
      <c r="A94" s="125">
        <v>7670</v>
      </c>
      <c r="B94" s="246" t="s">
        <v>289</v>
      </c>
      <c r="C94" s="129">
        <f t="shared" ref="C94:C95" si="7">D94+E94</f>
        <v>4750000</v>
      </c>
      <c r="D94" s="206"/>
      <c r="E94" s="130">
        <v>4750000</v>
      </c>
      <c r="F94" s="16" t="s">
        <v>457</v>
      </c>
    </row>
    <row r="95" spans="1:6" ht="20.25" customHeight="1" x14ac:dyDescent="0.25">
      <c r="A95" s="125">
        <v>6013</v>
      </c>
      <c r="B95" s="247"/>
      <c r="C95" s="129">
        <f t="shared" si="7"/>
        <v>2500000</v>
      </c>
      <c r="D95" s="206">
        <v>2500000</v>
      </c>
      <c r="E95" s="130"/>
      <c r="F95" s="132" t="s">
        <v>458</v>
      </c>
    </row>
    <row r="96" spans="1:6" ht="15.75" x14ac:dyDescent="0.25">
      <c r="A96" s="178" t="s">
        <v>459</v>
      </c>
      <c r="B96" s="190" t="s">
        <v>436</v>
      </c>
      <c r="C96" s="126"/>
      <c r="D96" s="208"/>
      <c r="E96" s="208"/>
      <c r="F96" s="132"/>
    </row>
    <row r="97" spans="1:9" ht="15.75" x14ac:dyDescent="0.25">
      <c r="A97" s="178"/>
      <c r="B97" s="190" t="s">
        <v>21</v>
      </c>
      <c r="C97" s="126">
        <f>D97+E97</f>
        <v>2490280</v>
      </c>
      <c r="D97" s="208">
        <f>D98+D99</f>
        <v>0</v>
      </c>
      <c r="E97" s="208">
        <f>E98+E99</f>
        <v>2490280</v>
      </c>
      <c r="F97" s="132"/>
    </row>
    <row r="98" spans="1:9" ht="83.25" customHeight="1" x14ac:dyDescent="0.25">
      <c r="A98" s="125">
        <v>1183</v>
      </c>
      <c r="B98" s="16" t="s">
        <v>510</v>
      </c>
      <c r="C98" s="126">
        <f t="shared" ref="C98:C99" si="8">D98+E98</f>
        <v>490280</v>
      </c>
      <c r="D98" s="208"/>
      <c r="E98" s="133">
        <v>490280</v>
      </c>
      <c r="F98" s="183"/>
    </row>
    <row r="99" spans="1:9" ht="38.25" x14ac:dyDescent="0.25">
      <c r="A99" s="125">
        <v>1021</v>
      </c>
      <c r="B99" s="209" t="s">
        <v>234</v>
      </c>
      <c r="C99" s="126">
        <f t="shared" si="8"/>
        <v>2000000</v>
      </c>
      <c r="D99" s="208"/>
      <c r="E99" s="133">
        <v>2000000</v>
      </c>
      <c r="F99" s="16" t="s">
        <v>437</v>
      </c>
    </row>
    <row r="100" spans="1:9" ht="25.5" x14ac:dyDescent="0.25">
      <c r="A100" s="125"/>
      <c r="B100" s="12" t="s">
        <v>444</v>
      </c>
      <c r="C100" s="126">
        <f>D100+E100</f>
        <v>40611863</v>
      </c>
      <c r="D100" s="126">
        <f>D97+D65+D36+D11</f>
        <v>20320943</v>
      </c>
      <c r="E100" s="126">
        <f>E97+E65+E36+E11</f>
        <v>20290920</v>
      </c>
      <c r="F100" s="132"/>
    </row>
    <row r="101" spans="1:9" ht="15.75" x14ac:dyDescent="0.25">
      <c r="A101" s="178"/>
      <c r="B101" s="232" t="s">
        <v>509</v>
      </c>
      <c r="C101" s="128">
        <f>47840609-C100</f>
        <v>7228746</v>
      </c>
      <c r="D101" s="233"/>
      <c r="E101" s="230"/>
      <c r="F101" s="231"/>
    </row>
    <row r="102" spans="1:9" ht="24.6" customHeight="1" x14ac:dyDescent="0.25">
      <c r="A102" s="125"/>
      <c r="B102" s="251" t="s">
        <v>484</v>
      </c>
      <c r="C102" s="252"/>
      <c r="D102" s="252"/>
      <c r="E102" s="252"/>
      <c r="F102" s="253"/>
    </row>
    <row r="103" spans="1:9" ht="18.75" x14ac:dyDescent="0.25">
      <c r="A103" s="124" t="s">
        <v>153</v>
      </c>
      <c r="B103" s="210" t="s">
        <v>416</v>
      </c>
      <c r="C103" s="211">
        <f>D103+E103</f>
        <v>849360</v>
      </c>
      <c r="D103" s="210"/>
      <c r="E103" s="211">
        <f>E104</f>
        <v>849360</v>
      </c>
      <c r="F103" s="212"/>
    </row>
    <row r="104" spans="1:9" ht="51" x14ac:dyDescent="0.25">
      <c r="A104" s="125">
        <v>2152</v>
      </c>
      <c r="B104" s="12" t="s">
        <v>431</v>
      </c>
      <c r="C104" s="126">
        <f>D104+E104</f>
        <v>849360</v>
      </c>
      <c r="D104" s="213"/>
      <c r="E104" s="133">
        <v>849360</v>
      </c>
      <c r="F104" s="16" t="s">
        <v>539</v>
      </c>
    </row>
    <row r="105" spans="1:9" ht="18.75" x14ac:dyDescent="0.25">
      <c r="A105" s="214"/>
      <c r="B105" s="248" t="s">
        <v>485</v>
      </c>
      <c r="C105" s="249"/>
      <c r="D105" s="249"/>
      <c r="E105" s="249"/>
      <c r="F105" s="250"/>
    </row>
    <row r="106" spans="1:9" ht="15.75" x14ac:dyDescent="0.25">
      <c r="A106" s="124" t="s">
        <v>153</v>
      </c>
      <c r="B106" s="210" t="s">
        <v>416</v>
      </c>
      <c r="C106" s="133">
        <f>D106+E106</f>
        <v>758247</v>
      </c>
      <c r="D106" s="125"/>
      <c r="E106" s="126">
        <f>E107</f>
        <v>758247</v>
      </c>
      <c r="F106" s="134"/>
    </row>
    <row r="107" spans="1:9" ht="25.5" x14ac:dyDescent="0.25">
      <c r="A107" s="215">
        <v>2152</v>
      </c>
      <c r="B107" s="216" t="s">
        <v>45</v>
      </c>
      <c r="C107" s="133">
        <f>D107+E107</f>
        <v>758247</v>
      </c>
      <c r="D107" s="134"/>
      <c r="E107" s="133">
        <v>758247</v>
      </c>
      <c r="F107" s="132"/>
    </row>
    <row r="108" spans="1:9" ht="25.5" x14ac:dyDescent="0.25">
      <c r="A108" s="217"/>
      <c r="B108" s="12" t="s">
        <v>438</v>
      </c>
      <c r="C108" s="218">
        <f>D108+E108</f>
        <v>42219470</v>
      </c>
      <c r="D108" s="219">
        <f>D100+D104+D107</f>
        <v>20320943</v>
      </c>
      <c r="E108" s="219">
        <f>E100+E104+E107</f>
        <v>21898527</v>
      </c>
      <c r="F108" s="183"/>
    </row>
    <row r="110" spans="1:9" x14ac:dyDescent="0.25">
      <c r="B110" s="144"/>
      <c r="E110" s="35"/>
    </row>
    <row r="112" spans="1:9" ht="18.75" x14ac:dyDescent="0.3">
      <c r="B112" s="27" t="s">
        <v>230</v>
      </c>
      <c r="D112" s="27"/>
      <c r="E112" s="27" t="s">
        <v>231</v>
      </c>
      <c r="F112" s="27"/>
      <c r="G112" s="27"/>
      <c r="H112" s="27"/>
      <c r="I112" s="27"/>
    </row>
    <row r="114" spans="5:5" x14ac:dyDescent="0.25">
      <c r="E114" s="35"/>
    </row>
  </sheetData>
  <mergeCells count="10">
    <mergeCell ref="A4:F4"/>
    <mergeCell ref="B94:B95"/>
    <mergeCell ref="B105:F105"/>
    <mergeCell ref="B102:F102"/>
    <mergeCell ref="B10:F10"/>
    <mergeCell ref="A7:A8"/>
    <mergeCell ref="B7:B8"/>
    <mergeCell ref="C7:C8"/>
    <mergeCell ref="D7:E7"/>
    <mergeCell ref="F7:F8"/>
  </mergeCells>
  <pageMargins left="0.31496062992125984" right="0.11811023622047245" top="0.15748031496062992" bottom="0.15748031496062992" header="0.11811023622047245" footer="0.11811023622047245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2"/>
  <sheetViews>
    <sheetView workbookViewId="0"/>
  </sheetViews>
  <sheetFormatPr defaultRowHeight="15" x14ac:dyDescent="0.25"/>
  <cols>
    <col min="2" max="2" width="51.140625" customWidth="1"/>
    <col min="3" max="4" width="12.85546875" customWidth="1"/>
    <col min="5" max="5" width="12.28515625" customWidth="1"/>
    <col min="6" max="6" width="12.85546875" customWidth="1"/>
    <col min="7" max="7" width="12" customWidth="1"/>
    <col min="8" max="8" width="11.28515625" customWidth="1"/>
    <col min="9" max="9" width="11" customWidth="1"/>
    <col min="10" max="10" width="11.5703125" customWidth="1"/>
  </cols>
  <sheetData>
    <row r="1" spans="1:10" ht="18.75" x14ac:dyDescent="0.25">
      <c r="A1" s="22"/>
      <c r="B1" s="22"/>
      <c r="C1" s="22"/>
      <c r="D1" s="9"/>
      <c r="E1" s="9"/>
      <c r="F1" s="9"/>
      <c r="G1" s="9" t="s">
        <v>139</v>
      </c>
      <c r="H1" s="22"/>
      <c r="I1" s="22"/>
      <c r="J1" s="22"/>
    </row>
    <row r="2" spans="1:10" ht="18.75" x14ac:dyDescent="0.25">
      <c r="A2" s="22"/>
      <c r="B2" s="22"/>
      <c r="C2" s="22"/>
      <c r="D2" s="10"/>
      <c r="E2" s="10"/>
      <c r="F2" s="10"/>
      <c r="G2" s="10" t="s">
        <v>543</v>
      </c>
      <c r="H2" s="22"/>
      <c r="I2" s="22"/>
      <c r="J2" s="22"/>
    </row>
    <row r="3" spans="1:10" ht="18.75" x14ac:dyDescent="0.25">
      <c r="A3" s="245" t="s">
        <v>346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x14ac:dyDescent="0.25">
      <c r="A4" s="23" t="s">
        <v>333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5">
      <c r="A5" s="23"/>
      <c r="B5" s="22"/>
      <c r="C5" s="22"/>
      <c r="D5" s="22"/>
      <c r="E5" s="22"/>
      <c r="F5" s="22"/>
      <c r="G5" s="22"/>
      <c r="H5" s="22"/>
      <c r="I5" s="22"/>
      <c r="J5" s="22" t="s">
        <v>137</v>
      </c>
    </row>
    <row r="6" spans="1:10" ht="15" customHeight="1" x14ac:dyDescent="0.25">
      <c r="A6" s="261" t="s">
        <v>56</v>
      </c>
      <c r="B6" s="261" t="s">
        <v>57</v>
      </c>
      <c r="C6" s="261" t="s">
        <v>58</v>
      </c>
      <c r="D6" s="262" t="s">
        <v>7</v>
      </c>
      <c r="E6" s="262"/>
      <c r="F6" s="262"/>
      <c r="G6" s="262" t="s">
        <v>8</v>
      </c>
      <c r="H6" s="262"/>
      <c r="I6" s="262"/>
      <c r="J6" s="262"/>
    </row>
    <row r="7" spans="1:10" ht="36" x14ac:dyDescent="0.25">
      <c r="A7" s="261"/>
      <c r="B7" s="261"/>
      <c r="C7" s="261"/>
      <c r="D7" s="83" t="s">
        <v>335</v>
      </c>
      <c r="E7" s="83" t="s">
        <v>336</v>
      </c>
      <c r="F7" s="83" t="s">
        <v>337</v>
      </c>
      <c r="G7" s="83" t="s">
        <v>335</v>
      </c>
      <c r="H7" s="83" t="s">
        <v>336</v>
      </c>
      <c r="I7" s="83" t="s">
        <v>10</v>
      </c>
      <c r="J7" s="83" t="s">
        <v>337</v>
      </c>
    </row>
    <row r="8" spans="1:10" x14ac:dyDescent="0.25">
      <c r="A8" s="86">
        <v>1</v>
      </c>
      <c r="B8" s="86">
        <v>2</v>
      </c>
      <c r="C8" s="86">
        <v>3</v>
      </c>
      <c r="D8" s="86">
        <v>4</v>
      </c>
      <c r="E8" s="86">
        <v>5</v>
      </c>
      <c r="F8" s="86">
        <v>6</v>
      </c>
      <c r="G8" s="86">
        <v>7</v>
      </c>
      <c r="H8" s="86">
        <v>8</v>
      </c>
      <c r="I8" s="86">
        <v>9</v>
      </c>
      <c r="J8" s="86">
        <v>10</v>
      </c>
    </row>
    <row r="9" spans="1:10" x14ac:dyDescent="0.25">
      <c r="A9" s="87">
        <v>10000000</v>
      </c>
      <c r="B9" s="88" t="s">
        <v>59</v>
      </c>
      <c r="C9" s="89">
        <f>SUM(F9+J9)</f>
        <v>532274300</v>
      </c>
      <c r="D9" s="89">
        <f>SUM(D10+D19+D29+D37+D53)</f>
        <v>528838200</v>
      </c>
      <c r="E9" s="89">
        <f t="shared" ref="E9:J9" si="0">SUM(E10+E19+E29+E37+E53)</f>
        <v>2770800</v>
      </c>
      <c r="F9" s="89">
        <f>SUM(D9:E9)</f>
        <v>531609000</v>
      </c>
      <c r="G9" s="89">
        <f t="shared" si="0"/>
        <v>665300</v>
      </c>
      <c r="H9" s="89">
        <f t="shared" si="0"/>
        <v>0</v>
      </c>
      <c r="I9" s="89">
        <f t="shared" si="0"/>
        <v>0</v>
      </c>
      <c r="J9" s="89">
        <f t="shared" si="0"/>
        <v>665300</v>
      </c>
    </row>
    <row r="10" spans="1:10" ht="24" x14ac:dyDescent="0.25">
      <c r="A10" s="87">
        <v>11000000</v>
      </c>
      <c r="B10" s="88" t="s">
        <v>60</v>
      </c>
      <c r="C10" s="89">
        <f t="shared" ref="C10:C77" si="1">SUM(F10+J10)</f>
        <v>283505000</v>
      </c>
      <c r="D10" s="90">
        <f>SUM(D11+D17)</f>
        <v>283505000</v>
      </c>
      <c r="E10" s="90">
        <f t="shared" ref="E10:I10" si="2">SUM(E11+E17)</f>
        <v>0</v>
      </c>
      <c r="F10" s="89">
        <f t="shared" ref="F10:F77" si="3">SUM(D10:E10)</f>
        <v>283505000</v>
      </c>
      <c r="G10" s="90">
        <f t="shared" si="2"/>
        <v>0</v>
      </c>
      <c r="H10" s="90">
        <f t="shared" si="2"/>
        <v>0</v>
      </c>
      <c r="I10" s="90">
        <f t="shared" si="2"/>
        <v>0</v>
      </c>
      <c r="J10" s="90">
        <f>SUM(J11+J17)</f>
        <v>0</v>
      </c>
    </row>
    <row r="11" spans="1:10" x14ac:dyDescent="0.25">
      <c r="A11" s="91">
        <v>11010000</v>
      </c>
      <c r="B11" s="92" t="s">
        <v>61</v>
      </c>
      <c r="C11" s="89">
        <f t="shared" si="1"/>
        <v>283385000</v>
      </c>
      <c r="D11" s="90">
        <f>SUM(D12:D16)</f>
        <v>283385000</v>
      </c>
      <c r="E11" s="90">
        <f t="shared" ref="E11:J11" si="4">SUM(E12:E16)</f>
        <v>0</v>
      </c>
      <c r="F11" s="89">
        <f t="shared" si="3"/>
        <v>283385000</v>
      </c>
      <c r="G11" s="90">
        <f t="shared" si="4"/>
        <v>0</v>
      </c>
      <c r="H11" s="90">
        <f t="shared" si="4"/>
        <v>0</v>
      </c>
      <c r="I11" s="90">
        <f t="shared" si="4"/>
        <v>0</v>
      </c>
      <c r="J11" s="90">
        <f t="shared" si="4"/>
        <v>0</v>
      </c>
    </row>
    <row r="12" spans="1:10" ht="24" x14ac:dyDescent="0.25">
      <c r="A12" s="91">
        <v>11010100</v>
      </c>
      <c r="B12" s="92" t="s">
        <v>62</v>
      </c>
      <c r="C12" s="89">
        <f t="shared" si="1"/>
        <v>271315000</v>
      </c>
      <c r="D12" s="93">
        <v>271315000</v>
      </c>
      <c r="E12" s="93"/>
      <c r="F12" s="89">
        <f t="shared" si="3"/>
        <v>271315000</v>
      </c>
      <c r="G12" s="94"/>
      <c r="H12" s="94"/>
      <c r="I12" s="94"/>
      <c r="J12" s="89">
        <f t="shared" ref="J12:J77" si="5">SUM(G12:H12)</f>
        <v>0</v>
      </c>
    </row>
    <row r="13" spans="1:10" ht="24" x14ac:dyDescent="0.25">
      <c r="A13" s="91">
        <v>11010400</v>
      </c>
      <c r="B13" s="92" t="s">
        <v>63</v>
      </c>
      <c r="C13" s="89">
        <f t="shared" si="1"/>
        <v>4505000</v>
      </c>
      <c r="D13" s="93">
        <v>4505000</v>
      </c>
      <c r="E13" s="93"/>
      <c r="F13" s="89">
        <f t="shared" si="3"/>
        <v>4505000</v>
      </c>
      <c r="G13" s="94"/>
      <c r="H13" s="94"/>
      <c r="I13" s="94"/>
      <c r="J13" s="89">
        <f t="shared" si="5"/>
        <v>0</v>
      </c>
    </row>
    <row r="14" spans="1:10" ht="24" x14ac:dyDescent="0.25">
      <c r="A14" s="91">
        <v>11010500</v>
      </c>
      <c r="B14" s="92" t="s">
        <v>64</v>
      </c>
      <c r="C14" s="89">
        <f t="shared" si="1"/>
        <v>6600000</v>
      </c>
      <c r="D14" s="93">
        <v>6600000</v>
      </c>
      <c r="E14" s="93"/>
      <c r="F14" s="89">
        <f t="shared" si="3"/>
        <v>6600000</v>
      </c>
      <c r="G14" s="94"/>
      <c r="H14" s="94"/>
      <c r="I14" s="94"/>
      <c r="J14" s="89">
        <f t="shared" si="5"/>
        <v>0</v>
      </c>
    </row>
    <row r="15" spans="1:10" ht="24" x14ac:dyDescent="0.25">
      <c r="A15" s="95">
        <v>11011200</v>
      </c>
      <c r="B15" s="96" t="s">
        <v>235</v>
      </c>
      <c r="C15" s="89">
        <f t="shared" si="1"/>
        <v>900000</v>
      </c>
      <c r="D15" s="93">
        <v>900000</v>
      </c>
      <c r="E15" s="93"/>
      <c r="F15" s="89">
        <f t="shared" si="3"/>
        <v>900000</v>
      </c>
      <c r="G15" s="94"/>
      <c r="H15" s="94"/>
      <c r="I15" s="94"/>
      <c r="J15" s="89">
        <f t="shared" si="5"/>
        <v>0</v>
      </c>
    </row>
    <row r="16" spans="1:10" ht="24" x14ac:dyDescent="0.25">
      <c r="A16" s="95">
        <v>11011300</v>
      </c>
      <c r="B16" s="96" t="s">
        <v>236</v>
      </c>
      <c r="C16" s="89">
        <f t="shared" si="1"/>
        <v>65000</v>
      </c>
      <c r="D16" s="93">
        <v>65000</v>
      </c>
      <c r="E16" s="93"/>
      <c r="F16" s="89">
        <f t="shared" si="3"/>
        <v>65000</v>
      </c>
      <c r="G16" s="94"/>
      <c r="H16" s="94"/>
      <c r="I16" s="94"/>
      <c r="J16" s="89">
        <f t="shared" si="5"/>
        <v>0</v>
      </c>
    </row>
    <row r="17" spans="1:10" x14ac:dyDescent="0.25">
      <c r="A17" s="87">
        <v>11020000</v>
      </c>
      <c r="B17" s="88" t="s">
        <v>65</v>
      </c>
      <c r="C17" s="89">
        <f t="shared" si="1"/>
        <v>120000</v>
      </c>
      <c r="D17" s="90">
        <f>SUM(D18)</f>
        <v>120000</v>
      </c>
      <c r="E17" s="90">
        <f t="shared" ref="E17:J17" si="6">SUM(E18)</f>
        <v>0</v>
      </c>
      <c r="F17" s="89">
        <f t="shared" si="3"/>
        <v>120000</v>
      </c>
      <c r="G17" s="90">
        <f t="shared" si="6"/>
        <v>0</v>
      </c>
      <c r="H17" s="90">
        <f t="shared" si="6"/>
        <v>0</v>
      </c>
      <c r="I17" s="90">
        <f t="shared" si="6"/>
        <v>0</v>
      </c>
      <c r="J17" s="90">
        <f t="shared" si="6"/>
        <v>0</v>
      </c>
    </row>
    <row r="18" spans="1:10" ht="24" x14ac:dyDescent="0.25">
      <c r="A18" s="91">
        <v>11020200</v>
      </c>
      <c r="B18" s="92" t="s">
        <v>66</v>
      </c>
      <c r="C18" s="89">
        <f t="shared" si="1"/>
        <v>120000</v>
      </c>
      <c r="D18" s="93">
        <v>120000</v>
      </c>
      <c r="E18" s="93"/>
      <c r="F18" s="89">
        <f t="shared" si="3"/>
        <v>120000</v>
      </c>
      <c r="G18" s="93"/>
      <c r="H18" s="93"/>
      <c r="I18" s="93"/>
      <c r="J18" s="89">
        <f t="shared" si="5"/>
        <v>0</v>
      </c>
    </row>
    <row r="19" spans="1:10" ht="24" x14ac:dyDescent="0.25">
      <c r="A19" s="87">
        <v>13000000</v>
      </c>
      <c r="B19" s="88" t="s">
        <v>67</v>
      </c>
      <c r="C19" s="89">
        <f t="shared" si="1"/>
        <v>41365000</v>
      </c>
      <c r="D19" s="90">
        <f>SUM(D20+D23+D27)</f>
        <v>41365000</v>
      </c>
      <c r="E19" s="90">
        <f t="shared" ref="E19:J19" si="7">SUM(E20+E23+E27)</f>
        <v>0</v>
      </c>
      <c r="F19" s="89">
        <f t="shared" si="3"/>
        <v>41365000</v>
      </c>
      <c r="G19" s="90">
        <f t="shared" si="7"/>
        <v>0</v>
      </c>
      <c r="H19" s="90">
        <f t="shared" si="7"/>
        <v>0</v>
      </c>
      <c r="I19" s="90">
        <f t="shared" si="7"/>
        <v>0</v>
      </c>
      <c r="J19" s="90">
        <f t="shared" si="7"/>
        <v>0</v>
      </c>
    </row>
    <row r="20" spans="1:10" x14ac:dyDescent="0.25">
      <c r="A20" s="87">
        <v>13010000</v>
      </c>
      <c r="B20" s="88" t="s">
        <v>68</v>
      </c>
      <c r="C20" s="89">
        <f t="shared" si="1"/>
        <v>1310000</v>
      </c>
      <c r="D20" s="90">
        <f>SUM(D21:D22)</f>
        <v>1310000</v>
      </c>
      <c r="E20" s="90">
        <f t="shared" ref="E20:J20" si="8">SUM(E21:E22)</f>
        <v>0</v>
      </c>
      <c r="F20" s="89">
        <f t="shared" si="3"/>
        <v>1310000</v>
      </c>
      <c r="G20" s="90">
        <f t="shared" si="8"/>
        <v>0</v>
      </c>
      <c r="H20" s="90">
        <f t="shared" si="8"/>
        <v>0</v>
      </c>
      <c r="I20" s="90">
        <f t="shared" si="8"/>
        <v>0</v>
      </c>
      <c r="J20" s="90">
        <f t="shared" si="8"/>
        <v>0</v>
      </c>
    </row>
    <row r="21" spans="1:10" ht="36" x14ac:dyDescent="0.25">
      <c r="A21" s="91">
        <v>13010100</v>
      </c>
      <c r="B21" s="92" t="s">
        <v>69</v>
      </c>
      <c r="C21" s="89">
        <f t="shared" si="1"/>
        <v>360000</v>
      </c>
      <c r="D21" s="93">
        <v>360000</v>
      </c>
      <c r="E21" s="93"/>
      <c r="F21" s="89">
        <f t="shared" si="3"/>
        <v>360000</v>
      </c>
      <c r="G21" s="93"/>
      <c r="H21" s="93"/>
      <c r="I21" s="93"/>
      <c r="J21" s="89">
        <f t="shared" si="5"/>
        <v>0</v>
      </c>
    </row>
    <row r="22" spans="1:10" ht="48" x14ac:dyDescent="0.25">
      <c r="A22" s="91">
        <v>13010200</v>
      </c>
      <c r="B22" s="92" t="s">
        <v>70</v>
      </c>
      <c r="C22" s="89">
        <f t="shared" si="1"/>
        <v>950000</v>
      </c>
      <c r="D22" s="93">
        <v>950000</v>
      </c>
      <c r="E22" s="93"/>
      <c r="F22" s="89">
        <f t="shared" si="3"/>
        <v>950000</v>
      </c>
      <c r="G22" s="93"/>
      <c r="H22" s="93"/>
      <c r="I22" s="93"/>
      <c r="J22" s="89">
        <f t="shared" si="5"/>
        <v>0</v>
      </c>
    </row>
    <row r="23" spans="1:10" x14ac:dyDescent="0.25">
      <c r="A23" s="87">
        <v>13030000</v>
      </c>
      <c r="B23" s="88" t="s">
        <v>71</v>
      </c>
      <c r="C23" s="89">
        <f t="shared" si="1"/>
        <v>40015000</v>
      </c>
      <c r="D23" s="90">
        <f>SUM(D24:D26)</f>
        <v>40015000</v>
      </c>
      <c r="E23" s="90">
        <f t="shared" ref="E23:J23" si="9">SUM(E24:E26)</f>
        <v>0</v>
      </c>
      <c r="F23" s="89">
        <f t="shared" si="3"/>
        <v>40015000</v>
      </c>
      <c r="G23" s="90">
        <f t="shared" si="9"/>
        <v>0</v>
      </c>
      <c r="H23" s="90">
        <f t="shared" si="9"/>
        <v>0</v>
      </c>
      <c r="I23" s="90">
        <f t="shared" si="9"/>
        <v>0</v>
      </c>
      <c r="J23" s="90">
        <f t="shared" si="9"/>
        <v>0</v>
      </c>
    </row>
    <row r="24" spans="1:10" ht="24" x14ac:dyDescent="0.25">
      <c r="A24" s="91">
        <v>13030100</v>
      </c>
      <c r="B24" s="92" t="s">
        <v>72</v>
      </c>
      <c r="C24" s="89">
        <f t="shared" si="1"/>
        <v>580000</v>
      </c>
      <c r="D24" s="93">
        <v>580000</v>
      </c>
      <c r="E24" s="93"/>
      <c r="F24" s="89">
        <f t="shared" si="3"/>
        <v>580000</v>
      </c>
      <c r="G24" s="93"/>
      <c r="H24" s="93"/>
      <c r="I24" s="93"/>
      <c r="J24" s="89">
        <f t="shared" si="5"/>
        <v>0</v>
      </c>
    </row>
    <row r="25" spans="1:10" x14ac:dyDescent="0.25">
      <c r="A25" s="91">
        <v>13030700</v>
      </c>
      <c r="B25" s="92" t="s">
        <v>73</v>
      </c>
      <c r="C25" s="89">
        <f t="shared" si="1"/>
        <v>30090000</v>
      </c>
      <c r="D25" s="93">
        <v>30090000</v>
      </c>
      <c r="E25" s="93"/>
      <c r="F25" s="89">
        <f t="shared" si="3"/>
        <v>30090000</v>
      </c>
      <c r="G25" s="94"/>
      <c r="H25" s="94"/>
      <c r="I25" s="94"/>
      <c r="J25" s="89">
        <f t="shared" si="5"/>
        <v>0</v>
      </c>
    </row>
    <row r="26" spans="1:10" ht="24" x14ac:dyDescent="0.25">
      <c r="A26" s="91">
        <v>13030800</v>
      </c>
      <c r="B26" s="92" t="s">
        <v>74</v>
      </c>
      <c r="C26" s="89">
        <f t="shared" si="1"/>
        <v>9345000</v>
      </c>
      <c r="D26" s="93">
        <v>9345000</v>
      </c>
      <c r="E26" s="93"/>
      <c r="F26" s="89">
        <f t="shared" si="3"/>
        <v>9345000</v>
      </c>
      <c r="G26" s="94"/>
      <c r="H26" s="94"/>
      <c r="I26" s="94"/>
      <c r="J26" s="89">
        <f t="shared" si="5"/>
        <v>0</v>
      </c>
    </row>
    <row r="27" spans="1:10" x14ac:dyDescent="0.25">
      <c r="A27" s="97">
        <v>13040000</v>
      </c>
      <c r="B27" s="98" t="s">
        <v>237</v>
      </c>
      <c r="C27" s="89">
        <f t="shared" si="1"/>
        <v>40000</v>
      </c>
      <c r="D27" s="90">
        <f>SUM(D28)</f>
        <v>40000</v>
      </c>
      <c r="E27" s="90">
        <f t="shared" ref="E27:J27" si="10">SUM(E28)</f>
        <v>0</v>
      </c>
      <c r="F27" s="89">
        <f t="shared" si="3"/>
        <v>40000</v>
      </c>
      <c r="G27" s="90">
        <f t="shared" si="10"/>
        <v>0</v>
      </c>
      <c r="H27" s="90">
        <f t="shared" si="10"/>
        <v>0</v>
      </c>
      <c r="I27" s="90">
        <f t="shared" si="10"/>
        <v>0</v>
      </c>
      <c r="J27" s="90">
        <f t="shared" si="10"/>
        <v>0</v>
      </c>
    </row>
    <row r="28" spans="1:10" ht="24" x14ac:dyDescent="0.25">
      <c r="A28" s="91">
        <v>13040100</v>
      </c>
      <c r="B28" s="92" t="s">
        <v>75</v>
      </c>
      <c r="C28" s="89">
        <f t="shared" si="1"/>
        <v>40000</v>
      </c>
      <c r="D28" s="93">
        <v>40000</v>
      </c>
      <c r="E28" s="93"/>
      <c r="F28" s="89">
        <f t="shared" si="3"/>
        <v>40000</v>
      </c>
      <c r="G28" s="94"/>
      <c r="H28" s="94"/>
      <c r="I28" s="94"/>
      <c r="J28" s="89">
        <f t="shared" si="5"/>
        <v>0</v>
      </c>
    </row>
    <row r="29" spans="1:10" x14ac:dyDescent="0.25">
      <c r="A29" s="87">
        <v>14000000</v>
      </c>
      <c r="B29" s="88" t="s">
        <v>76</v>
      </c>
      <c r="C29" s="89">
        <f t="shared" si="1"/>
        <v>48775000</v>
      </c>
      <c r="D29" s="90">
        <f>SUM(D30+D32+D34)</f>
        <v>48775000</v>
      </c>
      <c r="E29" s="90">
        <f t="shared" ref="E29:J29" si="11">SUM(E30+E32+E34)</f>
        <v>0</v>
      </c>
      <c r="F29" s="89">
        <f t="shared" si="3"/>
        <v>48775000</v>
      </c>
      <c r="G29" s="90">
        <f t="shared" si="11"/>
        <v>0</v>
      </c>
      <c r="H29" s="90">
        <f t="shared" si="11"/>
        <v>0</v>
      </c>
      <c r="I29" s="90">
        <f t="shared" si="11"/>
        <v>0</v>
      </c>
      <c r="J29" s="90">
        <f t="shared" si="11"/>
        <v>0</v>
      </c>
    </row>
    <row r="30" spans="1:10" ht="24" x14ac:dyDescent="0.25">
      <c r="A30" s="87">
        <v>14020000</v>
      </c>
      <c r="B30" s="88" t="s">
        <v>77</v>
      </c>
      <c r="C30" s="89">
        <f t="shared" si="1"/>
        <v>4200000</v>
      </c>
      <c r="D30" s="90">
        <f>SUM(D31)</f>
        <v>4200000</v>
      </c>
      <c r="E30" s="90">
        <f t="shared" ref="E30:J30" si="12">SUM(E31)</f>
        <v>0</v>
      </c>
      <c r="F30" s="89">
        <f t="shared" si="3"/>
        <v>4200000</v>
      </c>
      <c r="G30" s="90">
        <f t="shared" si="12"/>
        <v>0</v>
      </c>
      <c r="H30" s="90">
        <f t="shared" si="12"/>
        <v>0</v>
      </c>
      <c r="I30" s="90">
        <f t="shared" si="12"/>
        <v>0</v>
      </c>
      <c r="J30" s="90">
        <f t="shared" si="12"/>
        <v>0</v>
      </c>
    </row>
    <row r="31" spans="1:10" x14ac:dyDescent="0.25">
      <c r="A31" s="91">
        <v>14021900</v>
      </c>
      <c r="B31" s="92" t="s">
        <v>78</v>
      </c>
      <c r="C31" s="89">
        <f t="shared" si="1"/>
        <v>4200000</v>
      </c>
      <c r="D31" s="93">
        <v>4200000</v>
      </c>
      <c r="E31" s="93"/>
      <c r="F31" s="89">
        <f t="shared" si="3"/>
        <v>4200000</v>
      </c>
      <c r="G31" s="93"/>
      <c r="H31" s="93"/>
      <c r="I31" s="93"/>
      <c r="J31" s="89">
        <f t="shared" si="5"/>
        <v>0</v>
      </c>
    </row>
    <row r="32" spans="1:10" ht="24" x14ac:dyDescent="0.25">
      <c r="A32" s="87">
        <v>14030000</v>
      </c>
      <c r="B32" s="88" t="s">
        <v>79</v>
      </c>
      <c r="C32" s="89">
        <f t="shared" si="1"/>
        <v>33475000</v>
      </c>
      <c r="D32" s="90">
        <f>SUM(D33)</f>
        <v>33475000</v>
      </c>
      <c r="E32" s="90">
        <f t="shared" ref="E32:J32" si="13">SUM(E33)</f>
        <v>0</v>
      </c>
      <c r="F32" s="89">
        <f t="shared" si="3"/>
        <v>33475000</v>
      </c>
      <c r="G32" s="90">
        <f t="shared" si="13"/>
        <v>0</v>
      </c>
      <c r="H32" s="90">
        <f t="shared" si="13"/>
        <v>0</v>
      </c>
      <c r="I32" s="90">
        <f t="shared" si="13"/>
        <v>0</v>
      </c>
      <c r="J32" s="90">
        <f t="shared" si="13"/>
        <v>0</v>
      </c>
    </row>
    <row r="33" spans="1:10" x14ac:dyDescent="0.25">
      <c r="A33" s="91">
        <v>14031900</v>
      </c>
      <c r="B33" s="92" t="s">
        <v>78</v>
      </c>
      <c r="C33" s="89">
        <f t="shared" si="1"/>
        <v>33475000</v>
      </c>
      <c r="D33" s="93">
        <v>33475000</v>
      </c>
      <c r="E33" s="93"/>
      <c r="F33" s="89">
        <f t="shared" si="3"/>
        <v>33475000</v>
      </c>
      <c r="G33" s="93"/>
      <c r="H33" s="93"/>
      <c r="I33" s="93"/>
      <c r="J33" s="89">
        <f t="shared" si="5"/>
        <v>0</v>
      </c>
    </row>
    <row r="34" spans="1:10" ht="24" x14ac:dyDescent="0.25">
      <c r="A34" s="97">
        <v>14040000</v>
      </c>
      <c r="B34" s="98" t="s">
        <v>238</v>
      </c>
      <c r="C34" s="89">
        <f t="shared" si="1"/>
        <v>11100000</v>
      </c>
      <c r="D34" s="90">
        <f>SUM(D35:D36)</f>
        <v>11100000</v>
      </c>
      <c r="E34" s="90">
        <f t="shared" ref="E34:J34" si="14">SUM(E35:E36)</f>
        <v>0</v>
      </c>
      <c r="F34" s="89">
        <f t="shared" si="3"/>
        <v>11100000</v>
      </c>
      <c r="G34" s="90">
        <f t="shared" si="14"/>
        <v>0</v>
      </c>
      <c r="H34" s="90">
        <f t="shared" si="14"/>
        <v>0</v>
      </c>
      <c r="I34" s="90">
        <f t="shared" si="14"/>
        <v>0</v>
      </c>
      <c r="J34" s="90">
        <f t="shared" si="14"/>
        <v>0</v>
      </c>
    </row>
    <row r="35" spans="1:10" ht="60" x14ac:dyDescent="0.25">
      <c r="A35" s="99">
        <v>14040100</v>
      </c>
      <c r="B35" s="92" t="s">
        <v>80</v>
      </c>
      <c r="C35" s="89">
        <f t="shared" si="1"/>
        <v>5900000</v>
      </c>
      <c r="D35" s="93">
        <v>5900000</v>
      </c>
      <c r="E35" s="93"/>
      <c r="F35" s="89">
        <f t="shared" si="3"/>
        <v>5900000</v>
      </c>
      <c r="G35" s="93"/>
      <c r="H35" s="93"/>
      <c r="I35" s="93"/>
      <c r="J35" s="89">
        <f t="shared" si="5"/>
        <v>0</v>
      </c>
    </row>
    <row r="36" spans="1:10" ht="48" x14ac:dyDescent="0.25">
      <c r="A36" s="99">
        <v>14040200</v>
      </c>
      <c r="B36" s="92" t="s">
        <v>81</v>
      </c>
      <c r="C36" s="89">
        <f t="shared" si="1"/>
        <v>5200000</v>
      </c>
      <c r="D36" s="93">
        <v>5200000</v>
      </c>
      <c r="E36" s="93"/>
      <c r="F36" s="89">
        <f t="shared" si="3"/>
        <v>5200000</v>
      </c>
      <c r="G36" s="93"/>
      <c r="H36" s="93"/>
      <c r="I36" s="93"/>
      <c r="J36" s="89">
        <f t="shared" si="5"/>
        <v>0</v>
      </c>
    </row>
    <row r="37" spans="1:10" x14ac:dyDescent="0.25">
      <c r="A37" s="87">
        <v>18000000</v>
      </c>
      <c r="B37" s="88" t="s">
        <v>82</v>
      </c>
      <c r="C37" s="89">
        <f t="shared" si="1"/>
        <v>157964000</v>
      </c>
      <c r="D37" s="90">
        <f>SUM(D38+D46+D49)</f>
        <v>155193200</v>
      </c>
      <c r="E37" s="90">
        <f t="shared" ref="E37:J37" si="15">SUM(E38+E46+E49)</f>
        <v>2770800</v>
      </c>
      <c r="F37" s="89">
        <f t="shared" si="3"/>
        <v>157964000</v>
      </c>
      <c r="G37" s="90">
        <f t="shared" si="15"/>
        <v>0</v>
      </c>
      <c r="H37" s="90">
        <f t="shared" si="15"/>
        <v>0</v>
      </c>
      <c r="I37" s="90">
        <f t="shared" si="15"/>
        <v>0</v>
      </c>
      <c r="J37" s="90">
        <f t="shared" si="15"/>
        <v>0</v>
      </c>
    </row>
    <row r="38" spans="1:10" x14ac:dyDescent="0.25">
      <c r="A38" s="87">
        <v>18010000</v>
      </c>
      <c r="B38" s="88" t="s">
        <v>83</v>
      </c>
      <c r="C38" s="89">
        <f t="shared" si="1"/>
        <v>93600800</v>
      </c>
      <c r="D38" s="90">
        <f>SUM(D39:D45)</f>
        <v>90830000</v>
      </c>
      <c r="E38" s="90">
        <f t="shared" ref="E38:J38" si="16">SUM(E39:E45)</f>
        <v>2770800</v>
      </c>
      <c r="F38" s="89">
        <f t="shared" si="3"/>
        <v>93600800</v>
      </c>
      <c r="G38" s="90">
        <f t="shared" si="16"/>
        <v>0</v>
      </c>
      <c r="H38" s="90">
        <f t="shared" si="16"/>
        <v>0</v>
      </c>
      <c r="I38" s="90">
        <f t="shared" si="16"/>
        <v>0</v>
      </c>
      <c r="J38" s="90">
        <f t="shared" si="16"/>
        <v>0</v>
      </c>
    </row>
    <row r="39" spans="1:10" ht="36" x14ac:dyDescent="0.25">
      <c r="A39" s="91">
        <v>18010200</v>
      </c>
      <c r="B39" s="92" t="s">
        <v>84</v>
      </c>
      <c r="C39" s="89">
        <f t="shared" si="1"/>
        <v>2480000</v>
      </c>
      <c r="D39" s="93">
        <v>2480000</v>
      </c>
      <c r="E39" s="93"/>
      <c r="F39" s="89">
        <f t="shared" si="3"/>
        <v>2480000</v>
      </c>
      <c r="G39" s="93"/>
      <c r="H39" s="93"/>
      <c r="I39" s="93"/>
      <c r="J39" s="89">
        <f t="shared" si="5"/>
        <v>0</v>
      </c>
    </row>
    <row r="40" spans="1:10" ht="36" x14ac:dyDescent="0.25">
      <c r="A40" s="91">
        <v>18010300</v>
      </c>
      <c r="B40" s="92" t="s">
        <v>85</v>
      </c>
      <c r="C40" s="89">
        <f t="shared" si="1"/>
        <v>6500000</v>
      </c>
      <c r="D40" s="93">
        <v>6500000</v>
      </c>
      <c r="E40" s="93"/>
      <c r="F40" s="89">
        <f t="shared" si="3"/>
        <v>6500000</v>
      </c>
      <c r="G40" s="93"/>
      <c r="H40" s="93"/>
      <c r="I40" s="93"/>
      <c r="J40" s="89">
        <f t="shared" si="5"/>
        <v>0</v>
      </c>
    </row>
    <row r="41" spans="1:10" ht="36" x14ac:dyDescent="0.25">
      <c r="A41" s="91">
        <v>18010400</v>
      </c>
      <c r="B41" s="92" t="s">
        <v>86</v>
      </c>
      <c r="C41" s="89">
        <f t="shared" si="1"/>
        <v>6200000</v>
      </c>
      <c r="D41" s="93">
        <v>6200000</v>
      </c>
      <c r="E41" s="93"/>
      <c r="F41" s="89">
        <f t="shared" si="3"/>
        <v>6200000</v>
      </c>
      <c r="G41" s="93"/>
      <c r="H41" s="93"/>
      <c r="I41" s="93"/>
      <c r="J41" s="89">
        <f t="shared" si="5"/>
        <v>0</v>
      </c>
    </row>
    <row r="42" spans="1:10" x14ac:dyDescent="0.25">
      <c r="A42" s="91">
        <v>18010500</v>
      </c>
      <c r="B42" s="92" t="s">
        <v>87</v>
      </c>
      <c r="C42" s="89">
        <f t="shared" si="1"/>
        <v>22150000</v>
      </c>
      <c r="D42" s="93">
        <v>20150000</v>
      </c>
      <c r="E42" s="243">
        <v>2000000</v>
      </c>
      <c r="F42" s="89">
        <f t="shared" si="3"/>
        <v>22150000</v>
      </c>
      <c r="G42" s="93"/>
      <c r="H42" s="93"/>
      <c r="I42" s="93"/>
      <c r="J42" s="89">
        <f t="shared" si="5"/>
        <v>0</v>
      </c>
    </row>
    <row r="43" spans="1:10" x14ac:dyDescent="0.25">
      <c r="A43" s="91">
        <v>18010600</v>
      </c>
      <c r="B43" s="92" t="s">
        <v>88</v>
      </c>
      <c r="C43" s="89">
        <f t="shared" si="1"/>
        <v>48070800</v>
      </c>
      <c r="D43" s="93">
        <v>47300000</v>
      </c>
      <c r="E43" s="93">
        <v>770800</v>
      </c>
      <c r="F43" s="89">
        <f t="shared" si="3"/>
        <v>48070800</v>
      </c>
      <c r="G43" s="93"/>
      <c r="H43" s="93"/>
      <c r="I43" s="93"/>
      <c r="J43" s="89">
        <f t="shared" si="5"/>
        <v>0</v>
      </c>
    </row>
    <row r="44" spans="1:10" x14ac:dyDescent="0.25">
      <c r="A44" s="91">
        <v>18010700</v>
      </c>
      <c r="B44" s="92" t="s">
        <v>89</v>
      </c>
      <c r="C44" s="89">
        <f t="shared" si="1"/>
        <v>1900000</v>
      </c>
      <c r="D44" s="93">
        <v>1900000</v>
      </c>
      <c r="E44" s="93"/>
      <c r="F44" s="89">
        <f t="shared" si="3"/>
        <v>1900000</v>
      </c>
      <c r="G44" s="93"/>
      <c r="H44" s="93"/>
      <c r="I44" s="93"/>
      <c r="J44" s="89">
        <f t="shared" si="5"/>
        <v>0</v>
      </c>
    </row>
    <row r="45" spans="1:10" x14ac:dyDescent="0.25">
      <c r="A45" s="91">
        <v>18010900</v>
      </c>
      <c r="B45" s="92" t="s">
        <v>90</v>
      </c>
      <c r="C45" s="89">
        <f t="shared" si="1"/>
        <v>6300000</v>
      </c>
      <c r="D45" s="93">
        <v>6300000</v>
      </c>
      <c r="E45" s="93"/>
      <c r="F45" s="89">
        <f t="shared" si="3"/>
        <v>6300000</v>
      </c>
      <c r="G45" s="93"/>
      <c r="H45" s="93"/>
      <c r="I45" s="93"/>
      <c r="J45" s="89">
        <f t="shared" si="5"/>
        <v>0</v>
      </c>
    </row>
    <row r="46" spans="1:10" x14ac:dyDescent="0.25">
      <c r="A46" s="100">
        <v>18030000</v>
      </c>
      <c r="B46" s="101" t="s">
        <v>91</v>
      </c>
      <c r="C46" s="89">
        <f t="shared" si="1"/>
        <v>47200</v>
      </c>
      <c r="D46" s="89">
        <f>SUM(D47:D48)</f>
        <v>47200</v>
      </c>
      <c r="E46" s="89">
        <f t="shared" ref="E46:J46" si="17">SUM(E47:E48)</f>
        <v>0</v>
      </c>
      <c r="F46" s="89">
        <f t="shared" si="3"/>
        <v>47200</v>
      </c>
      <c r="G46" s="89">
        <f t="shared" si="17"/>
        <v>0</v>
      </c>
      <c r="H46" s="89">
        <f t="shared" si="17"/>
        <v>0</v>
      </c>
      <c r="I46" s="89">
        <f t="shared" si="17"/>
        <v>0</v>
      </c>
      <c r="J46" s="89">
        <f t="shared" si="17"/>
        <v>0</v>
      </c>
    </row>
    <row r="47" spans="1:10" x14ac:dyDescent="0.25">
      <c r="A47" s="86">
        <v>18030100</v>
      </c>
      <c r="B47" s="102" t="s">
        <v>92</v>
      </c>
      <c r="C47" s="89">
        <f t="shared" si="1"/>
        <v>7200</v>
      </c>
      <c r="D47" s="103">
        <v>7200</v>
      </c>
      <c r="E47" s="103"/>
      <c r="F47" s="89">
        <f t="shared" si="3"/>
        <v>7200</v>
      </c>
      <c r="G47" s="103"/>
      <c r="H47" s="103"/>
      <c r="I47" s="103"/>
      <c r="J47" s="89">
        <f t="shared" si="5"/>
        <v>0</v>
      </c>
    </row>
    <row r="48" spans="1:10" x14ac:dyDescent="0.25">
      <c r="A48" s="86">
        <v>18030200</v>
      </c>
      <c r="B48" s="102" t="s">
        <v>93</v>
      </c>
      <c r="C48" s="89">
        <f t="shared" si="1"/>
        <v>40000</v>
      </c>
      <c r="D48" s="103">
        <v>40000</v>
      </c>
      <c r="E48" s="103"/>
      <c r="F48" s="89">
        <f t="shared" si="3"/>
        <v>40000</v>
      </c>
      <c r="G48" s="103"/>
      <c r="H48" s="103"/>
      <c r="I48" s="103"/>
      <c r="J48" s="89">
        <f t="shared" si="5"/>
        <v>0</v>
      </c>
    </row>
    <row r="49" spans="1:10" x14ac:dyDescent="0.25">
      <c r="A49" s="100">
        <v>18050000</v>
      </c>
      <c r="B49" s="101" t="s">
        <v>94</v>
      </c>
      <c r="C49" s="89">
        <f t="shared" si="1"/>
        <v>64316000</v>
      </c>
      <c r="D49" s="89">
        <f>SUM(D50:D52)</f>
        <v>64316000</v>
      </c>
      <c r="E49" s="89">
        <f t="shared" ref="E49:J49" si="18">SUM(E50:E52)</f>
        <v>0</v>
      </c>
      <c r="F49" s="89">
        <f t="shared" si="3"/>
        <v>64316000</v>
      </c>
      <c r="G49" s="89">
        <f t="shared" si="18"/>
        <v>0</v>
      </c>
      <c r="H49" s="89">
        <f t="shared" si="18"/>
        <v>0</v>
      </c>
      <c r="I49" s="89">
        <f t="shared" si="18"/>
        <v>0</v>
      </c>
      <c r="J49" s="89">
        <f t="shared" si="18"/>
        <v>0</v>
      </c>
    </row>
    <row r="50" spans="1:10" x14ac:dyDescent="0.25">
      <c r="A50" s="86">
        <v>18050300</v>
      </c>
      <c r="B50" s="102" t="s">
        <v>95</v>
      </c>
      <c r="C50" s="89">
        <f t="shared" si="1"/>
        <v>5950000</v>
      </c>
      <c r="D50" s="103">
        <v>5950000</v>
      </c>
      <c r="E50" s="103"/>
      <c r="F50" s="89">
        <f t="shared" si="3"/>
        <v>5950000</v>
      </c>
      <c r="G50" s="103"/>
      <c r="H50" s="103"/>
      <c r="I50" s="103"/>
      <c r="J50" s="89">
        <f t="shared" si="5"/>
        <v>0</v>
      </c>
    </row>
    <row r="51" spans="1:10" x14ac:dyDescent="0.25">
      <c r="A51" s="86">
        <v>18050400</v>
      </c>
      <c r="B51" s="102" t="s">
        <v>96</v>
      </c>
      <c r="C51" s="89">
        <f t="shared" si="1"/>
        <v>58100000</v>
      </c>
      <c r="D51" s="103">
        <v>58100000</v>
      </c>
      <c r="E51" s="103"/>
      <c r="F51" s="89">
        <f t="shared" si="3"/>
        <v>58100000</v>
      </c>
      <c r="G51" s="103"/>
      <c r="H51" s="103"/>
      <c r="I51" s="103"/>
      <c r="J51" s="89">
        <f t="shared" si="5"/>
        <v>0</v>
      </c>
    </row>
    <row r="52" spans="1:10" ht="48" x14ac:dyDescent="0.25">
      <c r="A52" s="86">
        <v>18050500</v>
      </c>
      <c r="B52" s="102" t="s">
        <v>97</v>
      </c>
      <c r="C52" s="89">
        <f t="shared" si="1"/>
        <v>266000</v>
      </c>
      <c r="D52" s="103">
        <v>266000</v>
      </c>
      <c r="E52" s="103"/>
      <c r="F52" s="89">
        <f t="shared" si="3"/>
        <v>266000</v>
      </c>
      <c r="G52" s="103"/>
      <c r="H52" s="103"/>
      <c r="I52" s="103"/>
      <c r="J52" s="89">
        <f t="shared" si="5"/>
        <v>0</v>
      </c>
    </row>
    <row r="53" spans="1:10" x14ac:dyDescent="0.25">
      <c r="A53" s="100">
        <v>19000000</v>
      </c>
      <c r="B53" s="101" t="s">
        <v>98</v>
      </c>
      <c r="C53" s="89">
        <f t="shared" si="1"/>
        <v>665300</v>
      </c>
      <c r="D53" s="89">
        <f t="shared" ref="D53:E53" si="19">SUM(D54)</f>
        <v>0</v>
      </c>
      <c r="E53" s="89">
        <f t="shared" si="19"/>
        <v>0</v>
      </c>
      <c r="F53" s="89">
        <f t="shared" si="3"/>
        <v>0</v>
      </c>
      <c r="G53" s="89">
        <f>SUM(G54)</f>
        <v>665300</v>
      </c>
      <c r="H53" s="89">
        <f t="shared" ref="H53:J53" si="20">SUM(H54)</f>
        <v>0</v>
      </c>
      <c r="I53" s="89">
        <f t="shared" si="20"/>
        <v>0</v>
      </c>
      <c r="J53" s="89">
        <f t="shared" si="20"/>
        <v>665300</v>
      </c>
    </row>
    <row r="54" spans="1:10" x14ac:dyDescent="0.25">
      <c r="A54" s="86">
        <v>19010000</v>
      </c>
      <c r="B54" s="102" t="s">
        <v>99</v>
      </c>
      <c r="C54" s="89">
        <f t="shared" si="1"/>
        <v>665300</v>
      </c>
      <c r="D54" s="89">
        <f t="shared" ref="D54:E54" si="21">SUM(D55:D57)</f>
        <v>0</v>
      </c>
      <c r="E54" s="89">
        <f t="shared" si="21"/>
        <v>0</v>
      </c>
      <c r="F54" s="89">
        <f t="shared" si="3"/>
        <v>0</v>
      </c>
      <c r="G54" s="89">
        <f>SUM(G55:G57)</f>
        <v>665300</v>
      </c>
      <c r="H54" s="89">
        <f t="shared" ref="H54:J54" si="22">SUM(H55:H57)</f>
        <v>0</v>
      </c>
      <c r="I54" s="89">
        <f t="shared" si="22"/>
        <v>0</v>
      </c>
      <c r="J54" s="89">
        <f t="shared" si="22"/>
        <v>665300</v>
      </c>
    </row>
    <row r="55" spans="1:10" ht="48" x14ac:dyDescent="0.25">
      <c r="A55" s="86">
        <v>19010100</v>
      </c>
      <c r="B55" s="102" t="s">
        <v>100</v>
      </c>
      <c r="C55" s="89">
        <f t="shared" si="1"/>
        <v>515000</v>
      </c>
      <c r="D55" s="103">
        <v>0</v>
      </c>
      <c r="E55" s="103"/>
      <c r="F55" s="89">
        <f t="shared" si="3"/>
        <v>0</v>
      </c>
      <c r="G55" s="103">
        <v>515000</v>
      </c>
      <c r="H55" s="103"/>
      <c r="I55" s="103"/>
      <c r="J55" s="89">
        <f t="shared" si="5"/>
        <v>515000</v>
      </c>
    </row>
    <row r="56" spans="1:10" ht="24" x14ac:dyDescent="0.25">
      <c r="A56" s="86">
        <v>19010200</v>
      </c>
      <c r="B56" s="102" t="s">
        <v>101</v>
      </c>
      <c r="C56" s="89">
        <f t="shared" si="1"/>
        <v>50300</v>
      </c>
      <c r="D56" s="103">
        <v>0</v>
      </c>
      <c r="E56" s="103"/>
      <c r="F56" s="89">
        <f t="shared" si="3"/>
        <v>0</v>
      </c>
      <c r="G56" s="103">
        <v>50300</v>
      </c>
      <c r="H56" s="103"/>
      <c r="I56" s="103"/>
      <c r="J56" s="89">
        <f t="shared" si="5"/>
        <v>50300</v>
      </c>
    </row>
    <row r="57" spans="1:10" ht="36" x14ac:dyDescent="0.25">
      <c r="A57" s="86">
        <v>19010300</v>
      </c>
      <c r="B57" s="102" t="s">
        <v>102</v>
      </c>
      <c r="C57" s="89">
        <f t="shared" si="1"/>
        <v>100000</v>
      </c>
      <c r="D57" s="103">
        <v>0</v>
      </c>
      <c r="E57" s="103"/>
      <c r="F57" s="89">
        <f t="shared" si="3"/>
        <v>0</v>
      </c>
      <c r="G57" s="103">
        <v>100000</v>
      </c>
      <c r="H57" s="103"/>
      <c r="I57" s="103"/>
      <c r="J57" s="89">
        <f t="shared" si="5"/>
        <v>100000</v>
      </c>
    </row>
    <row r="58" spans="1:10" x14ac:dyDescent="0.25">
      <c r="A58" s="100">
        <v>20000000</v>
      </c>
      <c r="B58" s="101" t="s">
        <v>103</v>
      </c>
      <c r="C58" s="89">
        <f t="shared" si="1"/>
        <v>35076040</v>
      </c>
      <c r="D58" s="89">
        <f>SUM(D59+D67+D82+D87)</f>
        <v>26493400</v>
      </c>
      <c r="E58" s="89">
        <f t="shared" ref="E58:J58" si="23">SUM(E59+E67+E82+E87)</f>
        <v>0</v>
      </c>
      <c r="F58" s="89">
        <f t="shared" si="3"/>
        <v>26493400</v>
      </c>
      <c r="G58" s="89">
        <f t="shared" si="23"/>
        <v>8582640</v>
      </c>
      <c r="H58" s="89">
        <f t="shared" si="23"/>
        <v>0</v>
      </c>
      <c r="I58" s="89">
        <f t="shared" si="23"/>
        <v>0</v>
      </c>
      <c r="J58" s="89">
        <f t="shared" si="23"/>
        <v>8582640</v>
      </c>
    </row>
    <row r="59" spans="1:10" x14ac:dyDescent="0.25">
      <c r="A59" s="100">
        <v>21000000</v>
      </c>
      <c r="B59" s="101" t="s">
        <v>104</v>
      </c>
      <c r="C59" s="89">
        <f t="shared" si="1"/>
        <v>1147000</v>
      </c>
      <c r="D59" s="89">
        <f>SUM(D60+D62)</f>
        <v>1147000</v>
      </c>
      <c r="E59" s="89">
        <f t="shared" ref="E59:J59" si="24">SUM(E60+E62)</f>
        <v>0</v>
      </c>
      <c r="F59" s="89">
        <f t="shared" si="3"/>
        <v>1147000</v>
      </c>
      <c r="G59" s="89">
        <f t="shared" si="24"/>
        <v>0</v>
      </c>
      <c r="H59" s="89">
        <f t="shared" si="24"/>
        <v>0</v>
      </c>
      <c r="I59" s="89">
        <f t="shared" si="24"/>
        <v>0</v>
      </c>
      <c r="J59" s="89">
        <f t="shared" si="24"/>
        <v>0</v>
      </c>
    </row>
    <row r="60" spans="1:10" ht="72" x14ac:dyDescent="0.25">
      <c r="A60" s="100">
        <v>21010000</v>
      </c>
      <c r="B60" s="101" t="s">
        <v>105</v>
      </c>
      <c r="C60" s="89">
        <f t="shared" si="1"/>
        <v>120000</v>
      </c>
      <c r="D60" s="89">
        <f>SUM(D61)</f>
        <v>120000</v>
      </c>
      <c r="E60" s="89">
        <f t="shared" ref="E60:J60" si="25">SUM(E61)</f>
        <v>0</v>
      </c>
      <c r="F60" s="89">
        <f t="shared" si="3"/>
        <v>120000</v>
      </c>
      <c r="G60" s="89">
        <f t="shared" si="25"/>
        <v>0</v>
      </c>
      <c r="H60" s="89">
        <f t="shared" si="25"/>
        <v>0</v>
      </c>
      <c r="I60" s="89">
        <f t="shared" si="25"/>
        <v>0</v>
      </c>
      <c r="J60" s="89">
        <f t="shared" si="25"/>
        <v>0</v>
      </c>
    </row>
    <row r="61" spans="1:10" ht="36" x14ac:dyDescent="0.25">
      <c r="A61" s="86">
        <v>21010300</v>
      </c>
      <c r="B61" s="102" t="s">
        <v>106</v>
      </c>
      <c r="C61" s="89">
        <f t="shared" si="1"/>
        <v>120000</v>
      </c>
      <c r="D61" s="103">
        <v>120000</v>
      </c>
      <c r="E61" s="103"/>
      <c r="F61" s="89">
        <f t="shared" si="3"/>
        <v>120000</v>
      </c>
      <c r="G61" s="103"/>
      <c r="H61" s="103"/>
      <c r="I61" s="103"/>
      <c r="J61" s="89">
        <f t="shared" si="5"/>
        <v>0</v>
      </c>
    </row>
    <row r="62" spans="1:10" x14ac:dyDescent="0.25">
      <c r="A62" s="100">
        <v>21080000</v>
      </c>
      <c r="B62" s="101" t="s">
        <v>107</v>
      </c>
      <c r="C62" s="89">
        <f t="shared" si="1"/>
        <v>1027000</v>
      </c>
      <c r="D62" s="89">
        <f>SUM(D63:D66)</f>
        <v>1027000</v>
      </c>
      <c r="E62" s="89">
        <f t="shared" ref="E62:J62" si="26">SUM(E63:E66)</f>
        <v>0</v>
      </c>
      <c r="F62" s="89">
        <f t="shared" si="3"/>
        <v>1027000</v>
      </c>
      <c r="G62" s="89">
        <f t="shared" si="26"/>
        <v>0</v>
      </c>
      <c r="H62" s="89">
        <f t="shared" si="26"/>
        <v>0</v>
      </c>
      <c r="I62" s="89">
        <f t="shared" si="26"/>
        <v>0</v>
      </c>
      <c r="J62" s="89">
        <f t="shared" si="26"/>
        <v>0</v>
      </c>
    </row>
    <row r="63" spans="1:10" x14ac:dyDescent="0.25">
      <c r="A63" s="86">
        <v>21081100</v>
      </c>
      <c r="B63" s="102" t="s">
        <v>108</v>
      </c>
      <c r="C63" s="89">
        <f t="shared" si="1"/>
        <v>370000</v>
      </c>
      <c r="D63" s="103">
        <v>370000</v>
      </c>
      <c r="E63" s="103"/>
      <c r="F63" s="89">
        <f t="shared" si="3"/>
        <v>370000</v>
      </c>
      <c r="G63" s="103"/>
      <c r="H63" s="103"/>
      <c r="I63" s="103"/>
      <c r="J63" s="89">
        <f t="shared" si="5"/>
        <v>0</v>
      </c>
    </row>
    <row r="64" spans="1:10" ht="36" x14ac:dyDescent="0.25">
      <c r="A64" s="265">
        <v>21081500</v>
      </c>
      <c r="B64" s="102" t="s">
        <v>371</v>
      </c>
      <c r="C64" s="263">
        <f t="shared" si="1"/>
        <v>570000</v>
      </c>
      <c r="D64" s="267">
        <v>570000</v>
      </c>
      <c r="E64" s="267"/>
      <c r="F64" s="263">
        <f t="shared" si="3"/>
        <v>570000</v>
      </c>
      <c r="G64" s="267"/>
      <c r="H64" s="267"/>
      <c r="I64" s="267"/>
      <c r="J64" s="263">
        <f t="shared" si="5"/>
        <v>0</v>
      </c>
    </row>
    <row r="65" spans="1:10" ht="60" x14ac:dyDescent="0.25">
      <c r="A65" s="266"/>
      <c r="B65" s="220" t="s">
        <v>373</v>
      </c>
      <c r="C65" s="264"/>
      <c r="D65" s="268"/>
      <c r="E65" s="268"/>
      <c r="F65" s="264"/>
      <c r="G65" s="268"/>
      <c r="H65" s="268"/>
      <c r="I65" s="268"/>
      <c r="J65" s="264"/>
    </row>
    <row r="66" spans="1:10" ht="36" x14ac:dyDescent="0.25">
      <c r="A66" s="221">
        <v>21081800</v>
      </c>
      <c r="B66" s="102" t="s">
        <v>109</v>
      </c>
      <c r="C66" s="89">
        <f t="shared" si="1"/>
        <v>87000</v>
      </c>
      <c r="D66" s="103">
        <v>87000</v>
      </c>
      <c r="E66" s="103"/>
      <c r="F66" s="89">
        <f t="shared" si="3"/>
        <v>87000</v>
      </c>
      <c r="G66" s="103"/>
      <c r="H66" s="103"/>
      <c r="I66" s="103"/>
      <c r="J66" s="89">
        <f t="shared" si="5"/>
        <v>0</v>
      </c>
    </row>
    <row r="67" spans="1:10" ht="24" x14ac:dyDescent="0.25">
      <c r="A67" s="100">
        <v>22000000</v>
      </c>
      <c r="B67" s="101" t="s">
        <v>110</v>
      </c>
      <c r="C67" s="89">
        <f t="shared" si="1"/>
        <v>5138400</v>
      </c>
      <c r="D67" s="89">
        <f>SUM(D68+D75+D78+D81)</f>
        <v>5138400</v>
      </c>
      <c r="E67" s="89">
        <f t="shared" ref="E67:J67" si="27">SUM(E68+E75+E78+E81)</f>
        <v>0</v>
      </c>
      <c r="F67" s="89">
        <f t="shared" si="3"/>
        <v>5138400</v>
      </c>
      <c r="G67" s="89">
        <f t="shared" si="27"/>
        <v>0</v>
      </c>
      <c r="H67" s="89">
        <f t="shared" si="27"/>
        <v>0</v>
      </c>
      <c r="I67" s="89">
        <f t="shared" si="27"/>
        <v>0</v>
      </c>
      <c r="J67" s="89">
        <f t="shared" si="27"/>
        <v>0</v>
      </c>
    </row>
    <row r="68" spans="1:10" x14ac:dyDescent="0.25">
      <c r="A68" s="100">
        <v>22010000</v>
      </c>
      <c r="B68" s="101" t="s">
        <v>111</v>
      </c>
      <c r="C68" s="89">
        <f t="shared" si="1"/>
        <v>2904800</v>
      </c>
      <c r="D68" s="89">
        <f>SUM(D69:D73)</f>
        <v>2904800</v>
      </c>
      <c r="E68" s="89">
        <f t="shared" ref="E68:J68" si="28">SUM(E69:E73)</f>
        <v>0</v>
      </c>
      <c r="F68" s="89">
        <f t="shared" si="3"/>
        <v>2904800</v>
      </c>
      <c r="G68" s="89">
        <f t="shared" si="28"/>
        <v>0</v>
      </c>
      <c r="H68" s="89">
        <f t="shared" si="28"/>
        <v>0</v>
      </c>
      <c r="I68" s="89">
        <f t="shared" si="28"/>
        <v>0</v>
      </c>
      <c r="J68" s="89">
        <f t="shared" si="28"/>
        <v>0</v>
      </c>
    </row>
    <row r="69" spans="1:10" ht="36" x14ac:dyDescent="0.25">
      <c r="A69" s="265">
        <v>22010300</v>
      </c>
      <c r="B69" s="102" t="s">
        <v>372</v>
      </c>
      <c r="C69" s="263">
        <f t="shared" si="1"/>
        <v>63800</v>
      </c>
      <c r="D69" s="267">
        <v>63800</v>
      </c>
      <c r="E69" s="267"/>
      <c r="F69" s="263">
        <f t="shared" si="3"/>
        <v>63800</v>
      </c>
      <c r="G69" s="267"/>
      <c r="H69" s="267"/>
      <c r="I69" s="267"/>
      <c r="J69" s="269">
        <f t="shared" si="5"/>
        <v>0</v>
      </c>
    </row>
    <row r="70" spans="1:10" ht="36" x14ac:dyDescent="0.25">
      <c r="A70" s="266"/>
      <c r="B70" s="102" t="s">
        <v>374</v>
      </c>
      <c r="C70" s="264"/>
      <c r="D70" s="268"/>
      <c r="E70" s="268"/>
      <c r="F70" s="264"/>
      <c r="G70" s="268"/>
      <c r="H70" s="268"/>
      <c r="I70" s="268"/>
      <c r="J70" s="270"/>
    </row>
    <row r="71" spans="1:10" x14ac:dyDescent="0.25">
      <c r="A71" s="86">
        <v>22012500</v>
      </c>
      <c r="B71" s="102" t="s">
        <v>112</v>
      </c>
      <c r="C71" s="89">
        <f t="shared" si="1"/>
        <v>2400000</v>
      </c>
      <c r="D71" s="103">
        <v>2400000</v>
      </c>
      <c r="E71" s="103"/>
      <c r="F71" s="89">
        <f t="shared" si="3"/>
        <v>2400000</v>
      </c>
      <c r="G71" s="103"/>
      <c r="H71" s="103"/>
      <c r="I71" s="103"/>
      <c r="J71" s="89">
        <f t="shared" si="5"/>
        <v>0</v>
      </c>
    </row>
    <row r="72" spans="1:10" ht="24" x14ac:dyDescent="0.25">
      <c r="A72" s="86">
        <v>22012600</v>
      </c>
      <c r="B72" s="102" t="s">
        <v>113</v>
      </c>
      <c r="C72" s="89">
        <f t="shared" si="1"/>
        <v>440000</v>
      </c>
      <c r="D72" s="103">
        <v>440000</v>
      </c>
      <c r="E72" s="103"/>
      <c r="F72" s="89">
        <f t="shared" si="3"/>
        <v>440000</v>
      </c>
      <c r="G72" s="103"/>
      <c r="H72" s="103"/>
      <c r="I72" s="103"/>
      <c r="J72" s="89">
        <f t="shared" si="5"/>
        <v>0</v>
      </c>
    </row>
    <row r="73" spans="1:10" ht="72" x14ac:dyDescent="0.25">
      <c r="A73" s="265">
        <v>22012900</v>
      </c>
      <c r="B73" s="102" t="s">
        <v>375</v>
      </c>
      <c r="C73" s="263">
        <f t="shared" si="1"/>
        <v>1000</v>
      </c>
      <c r="D73" s="267">
        <v>1000</v>
      </c>
      <c r="E73" s="267"/>
      <c r="F73" s="263">
        <f t="shared" si="3"/>
        <v>1000</v>
      </c>
      <c r="G73" s="267"/>
      <c r="H73" s="267"/>
      <c r="I73" s="267"/>
      <c r="J73" s="263">
        <f t="shared" si="5"/>
        <v>0</v>
      </c>
    </row>
    <row r="74" spans="1:10" ht="72" x14ac:dyDescent="0.25">
      <c r="A74" s="266"/>
      <c r="B74" s="102" t="s">
        <v>376</v>
      </c>
      <c r="C74" s="264"/>
      <c r="D74" s="268"/>
      <c r="E74" s="268"/>
      <c r="F74" s="264"/>
      <c r="G74" s="268"/>
      <c r="H74" s="268"/>
      <c r="I74" s="268"/>
      <c r="J74" s="264"/>
    </row>
    <row r="75" spans="1:10" ht="24" x14ac:dyDescent="0.25">
      <c r="A75" s="271">
        <v>22080000</v>
      </c>
      <c r="B75" s="98" t="s">
        <v>377</v>
      </c>
      <c r="C75" s="263">
        <f t="shared" si="1"/>
        <v>2200000</v>
      </c>
      <c r="D75" s="263">
        <f>SUM(D77)</f>
        <v>2200000</v>
      </c>
      <c r="E75" s="263">
        <f t="shared" ref="E75:J75" si="29">SUM(E77)</f>
        <v>0</v>
      </c>
      <c r="F75" s="263">
        <f t="shared" si="3"/>
        <v>2200000</v>
      </c>
      <c r="G75" s="263">
        <f t="shared" si="29"/>
        <v>0</v>
      </c>
      <c r="H75" s="263">
        <f t="shared" si="29"/>
        <v>0</v>
      </c>
      <c r="I75" s="263">
        <f t="shared" si="29"/>
        <v>0</v>
      </c>
      <c r="J75" s="263">
        <f t="shared" si="29"/>
        <v>0</v>
      </c>
    </row>
    <row r="76" spans="1:10" ht="24" x14ac:dyDescent="0.25">
      <c r="A76" s="272"/>
      <c r="B76" s="98" t="s">
        <v>378</v>
      </c>
      <c r="C76" s="264"/>
      <c r="D76" s="264"/>
      <c r="E76" s="264"/>
      <c r="F76" s="264"/>
      <c r="G76" s="264"/>
      <c r="H76" s="264"/>
      <c r="I76" s="264"/>
      <c r="J76" s="264"/>
    </row>
    <row r="77" spans="1:10" ht="36" x14ac:dyDescent="0.25">
      <c r="A77" s="95">
        <v>22080400</v>
      </c>
      <c r="B77" s="96" t="s">
        <v>239</v>
      </c>
      <c r="C77" s="89">
        <f t="shared" si="1"/>
        <v>2200000</v>
      </c>
      <c r="D77" s="103">
        <v>2200000</v>
      </c>
      <c r="E77" s="103"/>
      <c r="F77" s="89">
        <f t="shared" si="3"/>
        <v>2200000</v>
      </c>
      <c r="G77" s="103"/>
      <c r="H77" s="103"/>
      <c r="I77" s="103"/>
      <c r="J77" s="89">
        <f t="shared" si="5"/>
        <v>0</v>
      </c>
    </row>
    <row r="78" spans="1:10" x14ac:dyDescent="0.25">
      <c r="A78" s="87">
        <v>22090000</v>
      </c>
      <c r="B78" s="88" t="s">
        <v>114</v>
      </c>
      <c r="C78" s="89">
        <f t="shared" ref="C78:C111" si="30">SUM(F78+J78)</f>
        <v>29500</v>
      </c>
      <c r="D78" s="90">
        <f>SUM(D79:D80)</f>
        <v>29500</v>
      </c>
      <c r="E78" s="90">
        <f t="shared" ref="E78:J78" si="31">SUM(E79:E80)</f>
        <v>0</v>
      </c>
      <c r="F78" s="89">
        <f t="shared" ref="F78:F111" si="32">SUM(D78:E78)</f>
        <v>29500</v>
      </c>
      <c r="G78" s="90">
        <f t="shared" si="31"/>
        <v>0</v>
      </c>
      <c r="H78" s="90">
        <f t="shared" si="31"/>
        <v>0</v>
      </c>
      <c r="I78" s="90">
        <f t="shared" si="31"/>
        <v>0</v>
      </c>
      <c r="J78" s="90">
        <f t="shared" si="31"/>
        <v>0</v>
      </c>
    </row>
    <row r="79" spans="1:10" ht="36" x14ac:dyDescent="0.25">
      <c r="A79" s="91">
        <v>22090100</v>
      </c>
      <c r="B79" s="92" t="s">
        <v>115</v>
      </c>
      <c r="C79" s="89">
        <f t="shared" si="30"/>
        <v>20000</v>
      </c>
      <c r="D79" s="93">
        <v>20000</v>
      </c>
      <c r="E79" s="93"/>
      <c r="F79" s="89">
        <f t="shared" si="32"/>
        <v>20000</v>
      </c>
      <c r="G79" s="93"/>
      <c r="H79" s="93"/>
      <c r="I79" s="93"/>
      <c r="J79" s="89">
        <f t="shared" ref="J79:J111" si="33">SUM(G79:H79)</f>
        <v>0</v>
      </c>
    </row>
    <row r="80" spans="1:10" ht="24" x14ac:dyDescent="0.25">
      <c r="A80" s="91">
        <v>22090400</v>
      </c>
      <c r="B80" s="92" t="s">
        <v>116</v>
      </c>
      <c r="C80" s="89">
        <f t="shared" si="30"/>
        <v>9500</v>
      </c>
      <c r="D80" s="93">
        <v>9500</v>
      </c>
      <c r="E80" s="93"/>
      <c r="F80" s="89">
        <f t="shared" si="32"/>
        <v>9500</v>
      </c>
      <c r="G80" s="93"/>
      <c r="H80" s="93"/>
      <c r="I80" s="93"/>
      <c r="J80" s="89">
        <f t="shared" si="33"/>
        <v>0</v>
      </c>
    </row>
    <row r="81" spans="1:10" ht="48" x14ac:dyDescent="0.25">
      <c r="A81" s="91">
        <v>22130000</v>
      </c>
      <c r="B81" s="92" t="s">
        <v>117</v>
      </c>
      <c r="C81" s="89">
        <f t="shared" si="30"/>
        <v>4100</v>
      </c>
      <c r="D81" s="93">
        <v>4100</v>
      </c>
      <c r="E81" s="93"/>
      <c r="F81" s="89">
        <f t="shared" si="32"/>
        <v>4100</v>
      </c>
      <c r="G81" s="93"/>
      <c r="H81" s="93"/>
      <c r="I81" s="93"/>
      <c r="J81" s="89">
        <f t="shared" si="33"/>
        <v>0</v>
      </c>
    </row>
    <row r="82" spans="1:10" x14ac:dyDescent="0.25">
      <c r="A82" s="87">
        <v>24000000</v>
      </c>
      <c r="B82" s="88" t="s">
        <v>118</v>
      </c>
      <c r="C82" s="89">
        <f t="shared" si="30"/>
        <v>20248000</v>
      </c>
      <c r="D82" s="90">
        <f>SUM(D83)</f>
        <v>20208000</v>
      </c>
      <c r="E82" s="90">
        <f t="shared" ref="E82:J82" si="34">SUM(E83)</f>
        <v>0</v>
      </c>
      <c r="F82" s="89">
        <f t="shared" si="32"/>
        <v>20208000</v>
      </c>
      <c r="G82" s="90">
        <f t="shared" si="34"/>
        <v>40000</v>
      </c>
      <c r="H82" s="90">
        <f t="shared" si="34"/>
        <v>0</v>
      </c>
      <c r="I82" s="90">
        <f t="shared" si="34"/>
        <v>0</v>
      </c>
      <c r="J82" s="90">
        <f t="shared" si="34"/>
        <v>40000</v>
      </c>
    </row>
    <row r="83" spans="1:10" x14ac:dyDescent="0.25">
      <c r="A83" s="87">
        <v>24060000</v>
      </c>
      <c r="B83" s="88" t="s">
        <v>107</v>
      </c>
      <c r="C83" s="89">
        <f t="shared" si="30"/>
        <v>20248000</v>
      </c>
      <c r="D83" s="90">
        <f>SUM(D84:D86)</f>
        <v>20208000</v>
      </c>
      <c r="E83" s="90">
        <f t="shared" ref="E83:J83" si="35">SUM(E84:E86)</f>
        <v>0</v>
      </c>
      <c r="F83" s="89">
        <f t="shared" si="32"/>
        <v>20208000</v>
      </c>
      <c r="G83" s="90">
        <f t="shared" si="35"/>
        <v>40000</v>
      </c>
      <c r="H83" s="90">
        <f t="shared" si="35"/>
        <v>0</v>
      </c>
      <c r="I83" s="90">
        <f t="shared" si="35"/>
        <v>0</v>
      </c>
      <c r="J83" s="90">
        <f t="shared" si="35"/>
        <v>40000</v>
      </c>
    </row>
    <row r="84" spans="1:10" x14ac:dyDescent="0.25">
      <c r="A84" s="91">
        <v>24060300</v>
      </c>
      <c r="B84" s="92" t="s">
        <v>107</v>
      </c>
      <c r="C84" s="89">
        <f t="shared" si="30"/>
        <v>305000</v>
      </c>
      <c r="D84" s="93">
        <v>305000</v>
      </c>
      <c r="E84" s="93"/>
      <c r="F84" s="89">
        <f t="shared" si="32"/>
        <v>305000</v>
      </c>
      <c r="G84" s="93"/>
      <c r="H84" s="93"/>
      <c r="I84" s="93"/>
      <c r="J84" s="89">
        <f t="shared" si="33"/>
        <v>0</v>
      </c>
    </row>
    <row r="85" spans="1:10" ht="36" x14ac:dyDescent="0.25">
      <c r="A85" s="91">
        <v>24062100</v>
      </c>
      <c r="B85" s="92" t="s">
        <v>119</v>
      </c>
      <c r="C85" s="89">
        <f t="shared" si="30"/>
        <v>40000</v>
      </c>
      <c r="D85" s="93">
        <v>0</v>
      </c>
      <c r="E85" s="93"/>
      <c r="F85" s="89">
        <f t="shared" si="32"/>
        <v>0</v>
      </c>
      <c r="G85" s="93">
        <v>40000</v>
      </c>
      <c r="H85" s="93"/>
      <c r="I85" s="93"/>
      <c r="J85" s="89">
        <f t="shared" si="33"/>
        <v>40000</v>
      </c>
    </row>
    <row r="86" spans="1:10" ht="48" x14ac:dyDescent="0.25">
      <c r="A86" s="91">
        <v>24062200</v>
      </c>
      <c r="B86" s="92" t="s">
        <v>120</v>
      </c>
      <c r="C86" s="89">
        <f t="shared" si="30"/>
        <v>19903000</v>
      </c>
      <c r="D86" s="93">
        <v>19903000</v>
      </c>
      <c r="E86" s="93"/>
      <c r="F86" s="89">
        <f t="shared" si="32"/>
        <v>19903000</v>
      </c>
      <c r="G86" s="93"/>
      <c r="H86" s="93"/>
      <c r="I86" s="93"/>
      <c r="J86" s="89">
        <f t="shared" si="33"/>
        <v>0</v>
      </c>
    </row>
    <row r="87" spans="1:10" x14ac:dyDescent="0.25">
      <c r="A87" s="100">
        <v>25000000</v>
      </c>
      <c r="B87" s="101" t="s">
        <v>121</v>
      </c>
      <c r="C87" s="89">
        <f t="shared" si="30"/>
        <v>8542640</v>
      </c>
      <c r="D87" s="89">
        <f>SUM(D88)</f>
        <v>0</v>
      </c>
      <c r="E87" s="89">
        <f t="shared" ref="E87:J88" si="36">SUM(E88)</f>
        <v>0</v>
      </c>
      <c r="F87" s="89">
        <f t="shared" si="32"/>
        <v>0</v>
      </c>
      <c r="G87" s="89">
        <f t="shared" si="36"/>
        <v>8542640</v>
      </c>
      <c r="H87" s="89">
        <f t="shared" si="36"/>
        <v>0</v>
      </c>
      <c r="I87" s="89">
        <f t="shared" si="36"/>
        <v>0</v>
      </c>
      <c r="J87" s="89">
        <f t="shared" si="36"/>
        <v>8542640</v>
      </c>
    </row>
    <row r="88" spans="1:10" ht="24" x14ac:dyDescent="0.25">
      <c r="A88" s="100">
        <v>25010000</v>
      </c>
      <c r="B88" s="101" t="s">
        <v>122</v>
      </c>
      <c r="C88" s="89">
        <f t="shared" si="30"/>
        <v>8542640</v>
      </c>
      <c r="D88" s="89">
        <f>SUM(D89)</f>
        <v>0</v>
      </c>
      <c r="E88" s="89">
        <f t="shared" si="36"/>
        <v>0</v>
      </c>
      <c r="F88" s="89">
        <f t="shared" si="32"/>
        <v>0</v>
      </c>
      <c r="G88" s="89">
        <f t="shared" si="36"/>
        <v>8542640</v>
      </c>
      <c r="H88" s="89">
        <f t="shared" si="36"/>
        <v>0</v>
      </c>
      <c r="I88" s="89">
        <f t="shared" si="36"/>
        <v>0</v>
      </c>
      <c r="J88" s="89">
        <f t="shared" si="36"/>
        <v>8542640</v>
      </c>
    </row>
    <row r="89" spans="1:10" ht="24" x14ac:dyDescent="0.25">
      <c r="A89" s="102">
        <v>25010100</v>
      </c>
      <c r="B89" s="102" t="s">
        <v>123</v>
      </c>
      <c r="C89" s="89">
        <f t="shared" si="30"/>
        <v>8542640</v>
      </c>
      <c r="D89" s="103">
        <v>0</v>
      </c>
      <c r="E89" s="103"/>
      <c r="F89" s="89">
        <f t="shared" si="32"/>
        <v>0</v>
      </c>
      <c r="G89" s="103">
        <v>8542640</v>
      </c>
      <c r="H89" s="103"/>
      <c r="I89" s="103"/>
      <c r="J89" s="89">
        <f>SUM(G89:H89)</f>
        <v>8542640</v>
      </c>
    </row>
    <row r="90" spans="1:10" x14ac:dyDescent="0.25">
      <c r="A90" s="97">
        <v>30000000</v>
      </c>
      <c r="B90" s="98" t="s">
        <v>240</v>
      </c>
      <c r="C90" s="89">
        <f t="shared" si="30"/>
        <v>0</v>
      </c>
      <c r="D90" s="89">
        <f>SUM(D91)</f>
        <v>0</v>
      </c>
      <c r="E90" s="89">
        <f t="shared" ref="E90:J92" si="37">SUM(E91)</f>
        <v>0</v>
      </c>
      <c r="F90" s="89">
        <f t="shared" si="32"/>
        <v>0</v>
      </c>
      <c r="G90" s="89">
        <f t="shared" si="37"/>
        <v>0</v>
      </c>
      <c r="H90" s="89">
        <f t="shared" si="37"/>
        <v>0</v>
      </c>
      <c r="I90" s="89">
        <f t="shared" si="37"/>
        <v>0</v>
      </c>
      <c r="J90" s="89">
        <f t="shared" si="37"/>
        <v>0</v>
      </c>
    </row>
    <row r="91" spans="1:10" x14ac:dyDescent="0.25">
      <c r="A91" s="97">
        <v>31000000</v>
      </c>
      <c r="B91" s="98" t="s">
        <v>241</v>
      </c>
      <c r="C91" s="89">
        <f t="shared" si="30"/>
        <v>0</v>
      </c>
      <c r="D91" s="89">
        <f>SUM(D92)</f>
        <v>0</v>
      </c>
      <c r="E91" s="89">
        <f t="shared" si="37"/>
        <v>0</v>
      </c>
      <c r="F91" s="89">
        <f t="shared" si="32"/>
        <v>0</v>
      </c>
      <c r="G91" s="89">
        <f t="shared" si="37"/>
        <v>0</v>
      </c>
      <c r="H91" s="89">
        <f t="shared" si="37"/>
        <v>0</v>
      </c>
      <c r="I91" s="89">
        <f t="shared" si="37"/>
        <v>0</v>
      </c>
      <c r="J91" s="89">
        <f t="shared" si="37"/>
        <v>0</v>
      </c>
    </row>
    <row r="92" spans="1:10" ht="48" x14ac:dyDescent="0.25">
      <c r="A92" s="97">
        <v>31010000</v>
      </c>
      <c r="B92" s="98" t="s">
        <v>242</v>
      </c>
      <c r="C92" s="89">
        <f t="shared" si="30"/>
        <v>0</v>
      </c>
      <c r="D92" s="89">
        <f>SUM(D93)</f>
        <v>0</v>
      </c>
      <c r="E92" s="89">
        <f t="shared" si="37"/>
        <v>0</v>
      </c>
      <c r="F92" s="89">
        <f t="shared" si="32"/>
        <v>0</v>
      </c>
      <c r="G92" s="89">
        <f t="shared" si="37"/>
        <v>0</v>
      </c>
      <c r="H92" s="89">
        <f t="shared" si="37"/>
        <v>0</v>
      </c>
      <c r="I92" s="89">
        <f t="shared" si="37"/>
        <v>0</v>
      </c>
      <c r="J92" s="89">
        <f t="shared" si="37"/>
        <v>0</v>
      </c>
    </row>
    <row r="93" spans="1:10" ht="48" x14ac:dyDescent="0.25">
      <c r="A93" s="95">
        <v>31010200</v>
      </c>
      <c r="B93" s="96" t="s">
        <v>243</v>
      </c>
      <c r="C93" s="89">
        <f t="shared" si="30"/>
        <v>0</v>
      </c>
      <c r="D93" s="103"/>
      <c r="E93" s="103"/>
      <c r="F93" s="89">
        <f t="shared" si="32"/>
        <v>0</v>
      </c>
      <c r="G93" s="103"/>
      <c r="H93" s="103"/>
      <c r="I93" s="103"/>
      <c r="J93" s="89">
        <f t="shared" si="33"/>
        <v>0</v>
      </c>
    </row>
    <row r="94" spans="1:10" x14ac:dyDescent="0.25">
      <c r="A94" s="100"/>
      <c r="B94" s="101" t="s">
        <v>124</v>
      </c>
      <c r="C94" s="89">
        <f t="shared" si="30"/>
        <v>567350340</v>
      </c>
      <c r="D94" s="89">
        <f>SUM(D9+D58+D90)</f>
        <v>555331600</v>
      </c>
      <c r="E94" s="89">
        <f t="shared" ref="E94:J94" si="38">SUM(E9+E58+E90)</f>
        <v>2770800</v>
      </c>
      <c r="F94" s="89">
        <f t="shared" si="32"/>
        <v>558102400</v>
      </c>
      <c r="G94" s="89">
        <f t="shared" si="38"/>
        <v>9247940</v>
      </c>
      <c r="H94" s="89">
        <f t="shared" si="38"/>
        <v>0</v>
      </c>
      <c r="I94" s="89">
        <f t="shared" si="38"/>
        <v>0</v>
      </c>
      <c r="J94" s="89">
        <f t="shared" si="38"/>
        <v>9247940</v>
      </c>
    </row>
    <row r="95" spans="1:10" x14ac:dyDescent="0.25">
      <c r="A95" s="100">
        <v>40000000</v>
      </c>
      <c r="B95" s="101" t="s">
        <v>125</v>
      </c>
      <c r="C95" s="89">
        <f t="shared" si="30"/>
        <v>145907162.75999999</v>
      </c>
      <c r="D95" s="89">
        <f>SUM(D96)</f>
        <v>144511445</v>
      </c>
      <c r="E95" s="89">
        <f>SUM(E96)</f>
        <v>445717.76000000001</v>
      </c>
      <c r="F95" s="89">
        <f t="shared" si="32"/>
        <v>144957162.75999999</v>
      </c>
      <c r="G95" s="89">
        <f t="shared" ref="G95:J95" si="39">SUM(G96)</f>
        <v>0</v>
      </c>
      <c r="H95" s="89">
        <f t="shared" si="39"/>
        <v>950000</v>
      </c>
      <c r="I95" s="89">
        <f t="shared" si="39"/>
        <v>950000</v>
      </c>
      <c r="J95" s="89">
        <f t="shared" si="39"/>
        <v>950000</v>
      </c>
    </row>
    <row r="96" spans="1:10" x14ac:dyDescent="0.25">
      <c r="A96" s="87">
        <v>41000000</v>
      </c>
      <c r="B96" s="88" t="s">
        <v>126</v>
      </c>
      <c r="C96" s="89">
        <f t="shared" si="30"/>
        <v>145907162.75999999</v>
      </c>
      <c r="D96" s="90">
        <f>SUM(D97+D102)</f>
        <v>144511445</v>
      </c>
      <c r="E96" s="90">
        <f>SUM(E97+E102)</f>
        <v>445717.76000000001</v>
      </c>
      <c r="F96" s="89">
        <f t="shared" si="32"/>
        <v>144957162.75999999</v>
      </c>
      <c r="G96" s="90">
        <f>SUM(G97+G102)</f>
        <v>0</v>
      </c>
      <c r="H96" s="90">
        <f>SUM(H97+H102)</f>
        <v>950000</v>
      </c>
      <c r="I96" s="90">
        <f>SUM(I97+I102)</f>
        <v>950000</v>
      </c>
      <c r="J96" s="90">
        <f>SUM(J97+J102)</f>
        <v>950000</v>
      </c>
    </row>
    <row r="97" spans="1:10" x14ac:dyDescent="0.25">
      <c r="A97" s="87">
        <v>41030000</v>
      </c>
      <c r="B97" s="88" t="s">
        <v>127</v>
      </c>
      <c r="C97" s="89">
        <f t="shared" si="30"/>
        <v>142342200</v>
      </c>
      <c r="D97" s="90">
        <f>SUM(D98:D101)</f>
        <v>142342200</v>
      </c>
      <c r="E97" s="90">
        <f>SUM(E98:E101)</f>
        <v>0</v>
      </c>
      <c r="F97" s="89">
        <f t="shared" si="32"/>
        <v>142342200</v>
      </c>
      <c r="G97" s="90">
        <f>SUM(G98:G101)</f>
        <v>0</v>
      </c>
      <c r="H97" s="90">
        <f>SUM(H98:H101)</f>
        <v>0</v>
      </c>
      <c r="I97" s="90">
        <f>SUM(I98:I101)</f>
        <v>0</v>
      </c>
      <c r="J97" s="90">
        <f>SUM(J98:J101)</f>
        <v>0</v>
      </c>
    </row>
    <row r="98" spans="1:10" x14ac:dyDescent="0.25">
      <c r="A98" s="91">
        <v>41033900</v>
      </c>
      <c r="B98" s="92" t="s">
        <v>128</v>
      </c>
      <c r="C98" s="89">
        <f t="shared" si="30"/>
        <v>129546700</v>
      </c>
      <c r="D98" s="93">
        <v>129546700</v>
      </c>
      <c r="E98" s="93"/>
      <c r="F98" s="89">
        <f t="shared" si="32"/>
        <v>129546700</v>
      </c>
      <c r="G98" s="90"/>
      <c r="H98" s="90"/>
      <c r="I98" s="90"/>
      <c r="J98" s="89">
        <f t="shared" si="33"/>
        <v>0</v>
      </c>
    </row>
    <row r="99" spans="1:10" ht="24" x14ac:dyDescent="0.25">
      <c r="A99" s="91">
        <v>41035400</v>
      </c>
      <c r="B99" s="92" t="s">
        <v>363</v>
      </c>
      <c r="C99" s="89">
        <f t="shared" si="30"/>
        <v>839300</v>
      </c>
      <c r="D99" s="93">
        <v>839300</v>
      </c>
      <c r="E99" s="93"/>
      <c r="F99" s="89">
        <f t="shared" si="32"/>
        <v>839300</v>
      </c>
      <c r="G99" s="90"/>
      <c r="H99" s="90"/>
      <c r="I99" s="90"/>
      <c r="J99" s="89">
        <f t="shared" si="33"/>
        <v>0</v>
      </c>
    </row>
    <row r="100" spans="1:10" ht="48" x14ac:dyDescent="0.25">
      <c r="A100" s="91">
        <v>41036000</v>
      </c>
      <c r="B100" s="92" t="s">
        <v>361</v>
      </c>
      <c r="C100" s="89">
        <f t="shared" ref="C100:C101" si="40">SUM(F100+J100)</f>
        <v>2451400</v>
      </c>
      <c r="D100" s="93">
        <v>2451400</v>
      </c>
      <c r="E100" s="93"/>
      <c r="F100" s="89">
        <f t="shared" si="32"/>
        <v>2451400</v>
      </c>
      <c r="G100" s="90"/>
      <c r="H100" s="90"/>
      <c r="I100" s="90"/>
      <c r="J100" s="89">
        <f>SUM(G100:H100)</f>
        <v>0</v>
      </c>
    </row>
    <row r="101" spans="1:10" ht="36" x14ac:dyDescent="0.25">
      <c r="A101" s="91">
        <v>41036300</v>
      </c>
      <c r="B101" s="92" t="s">
        <v>362</v>
      </c>
      <c r="C101" s="89">
        <f t="shared" si="40"/>
        <v>9504800</v>
      </c>
      <c r="D101" s="93">
        <v>9504800</v>
      </c>
      <c r="E101" s="93"/>
      <c r="F101" s="89">
        <f t="shared" si="32"/>
        <v>9504800</v>
      </c>
      <c r="G101" s="90"/>
      <c r="H101" s="90"/>
      <c r="I101" s="90"/>
      <c r="J101" s="89">
        <f t="shared" ref="J101" si="41">SUM(G101:H101)</f>
        <v>0</v>
      </c>
    </row>
    <row r="102" spans="1:10" x14ac:dyDescent="0.25">
      <c r="A102" s="87">
        <v>41050000</v>
      </c>
      <c r="B102" s="88" t="s">
        <v>129</v>
      </c>
      <c r="C102" s="89">
        <f>SUM(F102+J102)</f>
        <v>3564962.76</v>
      </c>
      <c r="D102" s="90">
        <f>SUM(D103+D104)</f>
        <v>2169245</v>
      </c>
      <c r="E102" s="90">
        <f>SUM(E103+E104+E112)</f>
        <v>445717.76000000001</v>
      </c>
      <c r="F102" s="90">
        <f t="shared" ref="F102:J102" si="42">SUM(F103+F104+F112)</f>
        <v>2614962.7599999998</v>
      </c>
      <c r="G102" s="90">
        <f t="shared" si="42"/>
        <v>0</v>
      </c>
      <c r="H102" s="90">
        <f t="shared" si="42"/>
        <v>950000</v>
      </c>
      <c r="I102" s="90">
        <f t="shared" si="42"/>
        <v>950000</v>
      </c>
      <c r="J102" s="90">
        <f t="shared" si="42"/>
        <v>950000</v>
      </c>
    </row>
    <row r="103" spans="1:10" ht="48" x14ac:dyDescent="0.25">
      <c r="A103" s="91">
        <v>41051000</v>
      </c>
      <c r="B103" s="92" t="s">
        <v>130</v>
      </c>
      <c r="C103" s="89">
        <f t="shared" si="30"/>
        <v>2026900</v>
      </c>
      <c r="D103" s="93">
        <v>2026900</v>
      </c>
      <c r="E103" s="93"/>
      <c r="F103" s="89">
        <f t="shared" si="32"/>
        <v>2026900</v>
      </c>
      <c r="G103" s="93"/>
      <c r="H103" s="93"/>
      <c r="I103" s="93"/>
      <c r="J103" s="89">
        <f t="shared" si="33"/>
        <v>0</v>
      </c>
    </row>
    <row r="104" spans="1:10" x14ac:dyDescent="0.25">
      <c r="A104" s="91">
        <v>41053900</v>
      </c>
      <c r="B104" s="92" t="s">
        <v>131</v>
      </c>
      <c r="C104" s="89">
        <f t="shared" si="30"/>
        <v>1292345</v>
      </c>
      <c r="D104" s="93">
        <f>SUM(D105)</f>
        <v>142345</v>
      </c>
      <c r="E104" s="93">
        <f>SUM(E105:E111)</f>
        <v>200000</v>
      </c>
      <c r="F104" s="89">
        <f>SUM(D104:E104)</f>
        <v>342345</v>
      </c>
      <c r="G104" s="93">
        <f t="shared" ref="G104" si="43">SUM(G105)</f>
        <v>0</v>
      </c>
      <c r="H104" s="93">
        <f>SUM(H105:H111)</f>
        <v>950000</v>
      </c>
      <c r="I104" s="93">
        <f>SUM(I105:I111)</f>
        <v>950000</v>
      </c>
      <c r="J104" s="90">
        <f>SUM(J105:J111)</f>
        <v>950000</v>
      </c>
    </row>
    <row r="105" spans="1:10" x14ac:dyDescent="0.25">
      <c r="A105" s="91"/>
      <c r="B105" s="92" t="s">
        <v>132</v>
      </c>
      <c r="C105" s="89">
        <f t="shared" si="30"/>
        <v>142345</v>
      </c>
      <c r="D105" s="93">
        <f>SUM(D106:D108)</f>
        <v>142345</v>
      </c>
      <c r="E105" s="93"/>
      <c r="F105" s="89">
        <f t="shared" si="32"/>
        <v>142345</v>
      </c>
      <c r="G105" s="93">
        <v>0</v>
      </c>
      <c r="H105" s="93"/>
      <c r="I105" s="93"/>
      <c r="J105" s="89">
        <f t="shared" si="33"/>
        <v>0</v>
      </c>
    </row>
    <row r="106" spans="1:10" ht="36" x14ac:dyDescent="0.25">
      <c r="A106" s="91"/>
      <c r="B106" s="92" t="s">
        <v>133</v>
      </c>
      <c r="C106" s="89">
        <f t="shared" si="30"/>
        <v>13420</v>
      </c>
      <c r="D106" s="93">
        <v>13420</v>
      </c>
      <c r="E106" s="93"/>
      <c r="F106" s="89">
        <f t="shared" si="32"/>
        <v>13420</v>
      </c>
      <c r="G106" s="93"/>
      <c r="H106" s="93"/>
      <c r="I106" s="93"/>
      <c r="J106" s="89">
        <f>SUM(G106:H106)</f>
        <v>0</v>
      </c>
    </row>
    <row r="107" spans="1:10" ht="24" x14ac:dyDescent="0.25">
      <c r="A107" s="91"/>
      <c r="B107" s="92" t="s">
        <v>134</v>
      </c>
      <c r="C107" s="89">
        <f t="shared" si="30"/>
        <v>56925</v>
      </c>
      <c r="D107" s="93">
        <v>56925</v>
      </c>
      <c r="E107" s="93"/>
      <c r="F107" s="89">
        <f t="shared" si="32"/>
        <v>56925</v>
      </c>
      <c r="G107" s="93"/>
      <c r="H107" s="93"/>
      <c r="I107" s="93"/>
      <c r="J107" s="89">
        <f t="shared" si="33"/>
        <v>0</v>
      </c>
    </row>
    <row r="108" spans="1:10" x14ac:dyDescent="0.25">
      <c r="A108" s="91"/>
      <c r="B108" s="92" t="s">
        <v>135</v>
      </c>
      <c r="C108" s="89">
        <f t="shared" si="30"/>
        <v>72000</v>
      </c>
      <c r="D108" s="93">
        <v>72000</v>
      </c>
      <c r="E108" s="93"/>
      <c r="F108" s="89">
        <f t="shared" si="32"/>
        <v>72000</v>
      </c>
      <c r="G108" s="93"/>
      <c r="H108" s="93"/>
      <c r="I108" s="93"/>
      <c r="J108" s="89">
        <f t="shared" si="33"/>
        <v>0</v>
      </c>
    </row>
    <row r="109" spans="1:10" ht="42" customHeight="1" x14ac:dyDescent="0.25">
      <c r="A109" s="91"/>
      <c r="B109" s="92" t="s">
        <v>379</v>
      </c>
      <c r="C109" s="89">
        <f t="shared" si="30"/>
        <v>650000</v>
      </c>
      <c r="D109" s="93"/>
      <c r="E109" s="93"/>
      <c r="F109" s="89">
        <f t="shared" si="32"/>
        <v>0</v>
      </c>
      <c r="G109" s="93"/>
      <c r="H109" s="93">
        <v>650000</v>
      </c>
      <c r="I109" s="93">
        <f>H109</f>
        <v>650000</v>
      </c>
      <c r="J109" s="89">
        <f t="shared" si="33"/>
        <v>650000</v>
      </c>
    </row>
    <row r="110" spans="1:10" ht="36" x14ac:dyDescent="0.25">
      <c r="A110" s="91"/>
      <c r="B110" s="92" t="s">
        <v>380</v>
      </c>
      <c r="C110" s="89">
        <f t="shared" si="30"/>
        <v>200000</v>
      </c>
      <c r="D110" s="93"/>
      <c r="E110" s="93">
        <v>200000</v>
      </c>
      <c r="F110" s="89">
        <f t="shared" si="32"/>
        <v>200000</v>
      </c>
      <c r="G110" s="93"/>
      <c r="H110" s="93"/>
      <c r="I110" s="93"/>
      <c r="J110" s="89">
        <f t="shared" si="33"/>
        <v>0</v>
      </c>
    </row>
    <row r="111" spans="1:10" ht="60" x14ac:dyDescent="0.25">
      <c r="A111" s="91"/>
      <c r="B111" s="92" t="s">
        <v>381</v>
      </c>
      <c r="C111" s="89">
        <f t="shared" si="30"/>
        <v>300000</v>
      </c>
      <c r="D111" s="93"/>
      <c r="E111" s="93"/>
      <c r="F111" s="89">
        <f t="shared" si="32"/>
        <v>0</v>
      </c>
      <c r="G111" s="93"/>
      <c r="H111" s="93">
        <v>300000</v>
      </c>
      <c r="I111" s="93">
        <v>300000</v>
      </c>
      <c r="J111" s="89">
        <f t="shared" si="33"/>
        <v>300000</v>
      </c>
    </row>
    <row r="112" spans="1:10" ht="60" x14ac:dyDescent="0.25">
      <c r="A112" s="91">
        <v>41059300</v>
      </c>
      <c r="B112" s="92" t="s">
        <v>382</v>
      </c>
      <c r="C112" s="89">
        <f>SUM(F112+J112)</f>
        <v>245717.76000000001</v>
      </c>
      <c r="D112" s="93"/>
      <c r="E112" s="93">
        <v>245717.76000000001</v>
      </c>
      <c r="F112" s="89">
        <f>SUM(D112:E112)</f>
        <v>245717.76000000001</v>
      </c>
      <c r="G112" s="90"/>
      <c r="H112" s="90"/>
      <c r="I112" s="90"/>
      <c r="J112" s="89">
        <f>SUM(G112:H112)</f>
        <v>0</v>
      </c>
    </row>
    <row r="113" spans="1:15" ht="14.25" customHeight="1" x14ac:dyDescent="0.25">
      <c r="A113" s="86"/>
      <c r="B113" s="101" t="s">
        <v>136</v>
      </c>
      <c r="C113" s="89">
        <f>SUM(F113+J113)</f>
        <v>713257502.75999999</v>
      </c>
      <c r="D113" s="89">
        <f>SUM(D94+D95)</f>
        <v>699843045</v>
      </c>
      <c r="E113" s="89">
        <f t="shared" ref="E113:I113" si="44">SUM(E94+E95)</f>
        <v>3216517.76</v>
      </c>
      <c r="F113" s="89">
        <f>SUM(F94+F95)</f>
        <v>703059562.75999999</v>
      </c>
      <c r="G113" s="89">
        <f t="shared" si="44"/>
        <v>9247940</v>
      </c>
      <c r="H113" s="89">
        <f t="shared" si="44"/>
        <v>950000</v>
      </c>
      <c r="I113" s="89">
        <f t="shared" si="44"/>
        <v>950000</v>
      </c>
      <c r="J113" s="89">
        <f>SUM(J94+J95)</f>
        <v>10197940</v>
      </c>
    </row>
    <row r="114" spans="1:15" x14ac:dyDescent="0.25">
      <c r="F114" s="35"/>
    </row>
    <row r="115" spans="1:15" x14ac:dyDescent="0.25">
      <c r="D115" s="82"/>
    </row>
    <row r="116" spans="1:15" ht="18.75" x14ac:dyDescent="0.3">
      <c r="B116" s="27" t="s">
        <v>230</v>
      </c>
      <c r="D116" s="27"/>
      <c r="E116" s="27"/>
      <c r="F116" s="27"/>
      <c r="G116" s="27" t="s">
        <v>231</v>
      </c>
      <c r="H116" s="27"/>
      <c r="I116" s="27"/>
      <c r="O116" s="27"/>
    </row>
    <row r="120" spans="1:15" x14ac:dyDescent="0.25">
      <c r="G120" s="35"/>
      <c r="H120" s="35"/>
      <c r="I120" s="35"/>
    </row>
    <row r="122" spans="1:15" x14ac:dyDescent="0.25">
      <c r="B122" s="35"/>
    </row>
  </sheetData>
  <mergeCells count="42">
    <mergeCell ref="J73:J74"/>
    <mergeCell ref="A75:A76"/>
    <mergeCell ref="C75:C76"/>
    <mergeCell ref="D75:D76"/>
    <mergeCell ref="E75:E76"/>
    <mergeCell ref="F75:F76"/>
    <mergeCell ref="G75:G76"/>
    <mergeCell ref="H75:H76"/>
    <mergeCell ref="I75:I76"/>
    <mergeCell ref="J75:J76"/>
    <mergeCell ref="A73:A74"/>
    <mergeCell ref="C73:C74"/>
    <mergeCell ref="D73:D74"/>
    <mergeCell ref="E73:E74"/>
    <mergeCell ref="F73:F74"/>
    <mergeCell ref="H64:H65"/>
    <mergeCell ref="I64:I65"/>
    <mergeCell ref="G73:G74"/>
    <mergeCell ref="H73:H74"/>
    <mergeCell ref="I73:I74"/>
    <mergeCell ref="J64:J65"/>
    <mergeCell ref="A69:A70"/>
    <mergeCell ref="C69:C70"/>
    <mergeCell ref="D69:D70"/>
    <mergeCell ref="E69:E70"/>
    <mergeCell ref="F69:F70"/>
    <mergeCell ref="G69:G70"/>
    <mergeCell ref="H69:H70"/>
    <mergeCell ref="I69:I70"/>
    <mergeCell ref="J69:J70"/>
    <mergeCell ref="A64:A65"/>
    <mergeCell ref="C64:C65"/>
    <mergeCell ref="D64:D65"/>
    <mergeCell ref="E64:E65"/>
    <mergeCell ref="F64:F65"/>
    <mergeCell ref="G64:G65"/>
    <mergeCell ref="A3:J3"/>
    <mergeCell ref="A6:A7"/>
    <mergeCell ref="B6:B7"/>
    <mergeCell ref="C6:C7"/>
    <mergeCell ref="G6:J6"/>
    <mergeCell ref="D6:F6"/>
  </mergeCells>
  <pageMargins left="0.70866141732283472" right="0.31496062992125984" top="0.55118110236220474" bottom="0.55118110236220474" header="0.11811023622047245" footer="0.11811023622047245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9"/>
  <sheetViews>
    <sheetView workbookViewId="0"/>
  </sheetViews>
  <sheetFormatPr defaultRowHeight="15" x14ac:dyDescent="0.25"/>
  <cols>
    <col min="1" max="1" width="10.85546875" customWidth="1"/>
    <col min="2" max="2" width="51.140625" customWidth="1"/>
    <col min="3" max="4" width="14.85546875" customWidth="1"/>
    <col min="5" max="5" width="14.140625" customWidth="1"/>
    <col min="6" max="6" width="14.5703125" customWidth="1"/>
    <col min="7" max="7" width="15.28515625" customWidth="1"/>
    <col min="8" max="8" width="13.7109375" customWidth="1"/>
    <col min="9" max="9" width="14.85546875" customWidth="1"/>
    <col min="10" max="10" width="14.140625" customWidth="1"/>
    <col min="11" max="11" width="12.5703125" customWidth="1"/>
    <col min="12" max="12" width="14.7109375" customWidth="1"/>
  </cols>
  <sheetData>
    <row r="1" spans="1:12" ht="18.75" x14ac:dyDescent="0.25">
      <c r="A1" s="36"/>
      <c r="B1" s="36"/>
      <c r="C1" s="9"/>
      <c r="D1" s="9"/>
      <c r="E1" s="9"/>
      <c r="F1" s="9"/>
      <c r="G1" s="9"/>
      <c r="H1" s="9"/>
      <c r="I1" s="9" t="s">
        <v>138</v>
      </c>
      <c r="J1" s="9"/>
      <c r="K1" s="9"/>
      <c r="L1" s="9"/>
    </row>
    <row r="2" spans="1:12" ht="18.75" x14ac:dyDescent="0.25">
      <c r="A2" s="36"/>
      <c r="B2" s="36"/>
      <c r="C2" s="9"/>
      <c r="D2" s="9"/>
      <c r="E2" s="9"/>
      <c r="F2" s="9"/>
      <c r="G2" s="9"/>
      <c r="H2" s="9"/>
      <c r="I2" s="9" t="s">
        <v>543</v>
      </c>
      <c r="J2" s="9"/>
      <c r="K2" s="9"/>
      <c r="L2" s="9"/>
    </row>
    <row r="3" spans="1:12" ht="18.75" x14ac:dyDescent="0.25">
      <c r="A3" s="277" t="s">
        <v>343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</row>
    <row r="4" spans="1:12" ht="15.75" customHeight="1" x14ac:dyDescent="0.3">
      <c r="A4" s="278" t="s">
        <v>344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</row>
    <row r="5" spans="1:12" x14ac:dyDescent="0.25">
      <c r="A5" s="279" t="s">
        <v>333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</row>
    <row r="6" spans="1:12" x14ac:dyDescent="0.25">
      <c r="A6" s="37"/>
      <c r="B6" s="37"/>
      <c r="C6" s="36"/>
      <c r="D6" s="36"/>
      <c r="E6" s="36"/>
      <c r="F6" s="37"/>
      <c r="G6" s="37"/>
      <c r="H6" s="37"/>
      <c r="I6" s="37"/>
      <c r="J6" s="37"/>
      <c r="K6" s="37"/>
      <c r="L6" s="38" t="s">
        <v>259</v>
      </c>
    </row>
    <row r="7" spans="1:12" ht="15.75" customHeight="1" x14ac:dyDescent="0.25">
      <c r="A7" s="262" t="s">
        <v>56</v>
      </c>
      <c r="B7" s="262" t="s">
        <v>140</v>
      </c>
      <c r="C7" s="281" t="s">
        <v>340</v>
      </c>
      <c r="D7" s="282"/>
      <c r="E7" s="283"/>
      <c r="F7" s="281" t="s">
        <v>7</v>
      </c>
      <c r="G7" s="282"/>
      <c r="H7" s="283"/>
      <c r="I7" s="275" t="s">
        <v>8</v>
      </c>
      <c r="J7" s="280"/>
      <c r="K7" s="280"/>
      <c r="L7" s="276"/>
    </row>
    <row r="8" spans="1:12" ht="15.75" customHeight="1" x14ac:dyDescent="0.25">
      <c r="A8" s="262"/>
      <c r="B8" s="262"/>
      <c r="C8" s="262" t="s">
        <v>338</v>
      </c>
      <c r="D8" s="262" t="s">
        <v>341</v>
      </c>
      <c r="E8" s="262" t="s">
        <v>337</v>
      </c>
      <c r="F8" s="262" t="s">
        <v>338</v>
      </c>
      <c r="G8" s="262" t="s">
        <v>341</v>
      </c>
      <c r="H8" s="262" t="s">
        <v>337</v>
      </c>
      <c r="I8" s="273" t="s">
        <v>338</v>
      </c>
      <c r="J8" s="275" t="s">
        <v>341</v>
      </c>
      <c r="K8" s="276"/>
      <c r="L8" s="273" t="s">
        <v>337</v>
      </c>
    </row>
    <row r="9" spans="1:12" ht="24" x14ac:dyDescent="0.25">
      <c r="A9" s="262"/>
      <c r="B9" s="262"/>
      <c r="C9" s="262"/>
      <c r="D9" s="262"/>
      <c r="E9" s="262"/>
      <c r="F9" s="262"/>
      <c r="G9" s="262"/>
      <c r="H9" s="262"/>
      <c r="I9" s="274"/>
      <c r="J9" s="83" t="s">
        <v>58</v>
      </c>
      <c r="K9" s="83" t="s">
        <v>342</v>
      </c>
      <c r="L9" s="274"/>
    </row>
    <row r="10" spans="1:12" x14ac:dyDescent="0.25">
      <c r="A10" s="39">
        <v>1</v>
      </c>
      <c r="B10" s="39">
        <v>2</v>
      </c>
      <c r="C10" s="39">
        <v>3</v>
      </c>
      <c r="D10" s="39"/>
      <c r="E10" s="39"/>
      <c r="F10" s="39">
        <v>4</v>
      </c>
      <c r="G10" s="39"/>
      <c r="H10" s="39"/>
      <c r="I10" s="39">
        <v>5</v>
      </c>
      <c r="J10" s="39"/>
      <c r="K10" s="39"/>
      <c r="L10" s="39">
        <v>6</v>
      </c>
    </row>
    <row r="11" spans="1:12" x14ac:dyDescent="0.25">
      <c r="A11" s="104" t="s">
        <v>260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</row>
    <row r="12" spans="1:12" x14ac:dyDescent="0.25">
      <c r="A12" s="105">
        <v>200000</v>
      </c>
      <c r="B12" s="106" t="s">
        <v>141</v>
      </c>
      <c r="C12" s="107">
        <f>SUM(F12+I12)</f>
        <v>45394060</v>
      </c>
      <c r="D12" s="107">
        <f>SUM(G12+J12)</f>
        <v>42219470</v>
      </c>
      <c r="E12" s="107">
        <f>SUM(C12:D12)</f>
        <v>87613530</v>
      </c>
      <c r="F12" s="107">
        <f>SUM(F17)+F13</f>
        <v>-51323000</v>
      </c>
      <c r="G12" s="107">
        <f t="shared" ref="G12" si="0">SUM(G17)+G13</f>
        <v>8177143</v>
      </c>
      <c r="H12" s="107">
        <f>SUM(H17)+H13</f>
        <v>-43145857</v>
      </c>
      <c r="I12" s="107">
        <f t="shared" ref="I12:J12" si="1">SUM(I17)+I13</f>
        <v>96717060</v>
      </c>
      <c r="J12" s="107">
        <f t="shared" si="1"/>
        <v>34042327</v>
      </c>
      <c r="K12" s="107">
        <f t="shared" ref="K12" si="2">SUM(K17)+K13</f>
        <v>33284080</v>
      </c>
      <c r="L12" s="107">
        <f>SUM(I12:J12)</f>
        <v>130759387</v>
      </c>
    </row>
    <row r="13" spans="1:12" ht="20.25" customHeight="1" x14ac:dyDescent="0.25">
      <c r="A13" s="80">
        <v>202000</v>
      </c>
      <c r="B13" s="18" t="s">
        <v>261</v>
      </c>
      <c r="C13" s="107">
        <f t="shared" ref="C13:C33" si="3">SUM(F13+I13)</f>
        <v>40120460</v>
      </c>
      <c r="D13" s="107">
        <f t="shared" ref="D13:D33" si="4">SUM(G13+J13)</f>
        <v>0</v>
      </c>
      <c r="E13" s="107">
        <f t="shared" ref="E13:E33" si="5">SUM(C13:D13)</f>
        <v>40120460</v>
      </c>
      <c r="F13" s="13">
        <f>SUM(F14)</f>
        <v>0</v>
      </c>
      <c r="G13" s="13">
        <f t="shared" ref="G13:K13" si="6">SUM(G14)</f>
        <v>0</v>
      </c>
      <c r="H13" s="13">
        <f t="shared" si="6"/>
        <v>0</v>
      </c>
      <c r="I13" s="13">
        <f t="shared" si="6"/>
        <v>40120460</v>
      </c>
      <c r="J13" s="13">
        <f t="shared" si="6"/>
        <v>0</v>
      </c>
      <c r="K13" s="13">
        <f t="shared" si="6"/>
        <v>0</v>
      </c>
      <c r="L13" s="107">
        <f t="shared" ref="L13:L33" si="7">SUM(I13:J13)</f>
        <v>40120460</v>
      </c>
    </row>
    <row r="14" spans="1:12" x14ac:dyDescent="0.25">
      <c r="A14" s="80">
        <v>202200</v>
      </c>
      <c r="B14" s="18" t="s">
        <v>262</v>
      </c>
      <c r="C14" s="107">
        <f t="shared" si="3"/>
        <v>40120460</v>
      </c>
      <c r="D14" s="107">
        <f t="shared" si="4"/>
        <v>0</v>
      </c>
      <c r="E14" s="107">
        <f t="shared" si="5"/>
        <v>40120460</v>
      </c>
      <c r="F14" s="13">
        <f>SUM(F15:F16)</f>
        <v>0</v>
      </c>
      <c r="G14" s="13">
        <f t="shared" ref="G14:K14" si="8">SUM(G15:G16)</f>
        <v>0</v>
      </c>
      <c r="H14" s="13">
        <f t="shared" si="8"/>
        <v>0</v>
      </c>
      <c r="I14" s="13">
        <f t="shared" si="8"/>
        <v>40120460</v>
      </c>
      <c r="J14" s="13">
        <f t="shared" si="8"/>
        <v>0</v>
      </c>
      <c r="K14" s="13">
        <f t="shared" si="8"/>
        <v>0</v>
      </c>
      <c r="L14" s="107">
        <f t="shared" si="7"/>
        <v>40120460</v>
      </c>
    </row>
    <row r="15" spans="1:12" x14ac:dyDescent="0.25">
      <c r="A15" s="20">
        <v>202210</v>
      </c>
      <c r="B15" s="7" t="s">
        <v>263</v>
      </c>
      <c r="C15" s="107">
        <f t="shared" si="3"/>
        <v>40140000</v>
      </c>
      <c r="D15" s="107">
        <f t="shared" si="4"/>
        <v>0</v>
      </c>
      <c r="E15" s="107">
        <f t="shared" si="5"/>
        <v>40140000</v>
      </c>
      <c r="F15" s="19">
        <v>0</v>
      </c>
      <c r="G15" s="19"/>
      <c r="H15" s="107">
        <f t="shared" ref="H15:H28" si="9">SUM(F15:G15)</f>
        <v>0</v>
      </c>
      <c r="I15" s="19">
        <v>40140000</v>
      </c>
      <c r="J15" s="19"/>
      <c r="K15" s="19"/>
      <c r="L15" s="107">
        <f t="shared" si="7"/>
        <v>40140000</v>
      </c>
    </row>
    <row r="16" spans="1:12" x14ac:dyDescent="0.25">
      <c r="A16" s="20">
        <v>202220</v>
      </c>
      <c r="B16" s="7" t="s">
        <v>264</v>
      </c>
      <c r="C16" s="107">
        <f t="shared" si="3"/>
        <v>-19540</v>
      </c>
      <c r="D16" s="107">
        <f t="shared" si="4"/>
        <v>0</v>
      </c>
      <c r="E16" s="107">
        <f t="shared" si="5"/>
        <v>-19540</v>
      </c>
      <c r="F16" s="19">
        <v>0</v>
      </c>
      <c r="G16" s="19"/>
      <c r="H16" s="107">
        <f t="shared" si="9"/>
        <v>0</v>
      </c>
      <c r="I16" s="19">
        <v>-19540</v>
      </c>
      <c r="J16" s="19"/>
      <c r="K16" s="19"/>
      <c r="L16" s="107">
        <f t="shared" si="7"/>
        <v>-19540</v>
      </c>
    </row>
    <row r="17" spans="1:17" ht="31.5" customHeight="1" x14ac:dyDescent="0.25">
      <c r="A17" s="105">
        <v>208000</v>
      </c>
      <c r="B17" s="112" t="s">
        <v>265</v>
      </c>
      <c r="C17" s="107">
        <f t="shared" si="3"/>
        <v>5273600</v>
      </c>
      <c r="D17" s="107">
        <f t="shared" si="4"/>
        <v>42219470</v>
      </c>
      <c r="E17" s="107">
        <f t="shared" si="5"/>
        <v>47493070</v>
      </c>
      <c r="F17" s="107">
        <f>SUM(F19:F19)</f>
        <v>-51323000</v>
      </c>
      <c r="G17" s="107">
        <f>SUM(G18:G19)</f>
        <v>8177143</v>
      </c>
      <c r="H17" s="107">
        <f>SUM(H18:H19)</f>
        <v>-43145857</v>
      </c>
      <c r="I17" s="107">
        <f>SUM(I18:I19)</f>
        <v>56596600</v>
      </c>
      <c r="J17" s="107">
        <f t="shared" ref="J17" si="10">SUM(J18:J19)</f>
        <v>34042327</v>
      </c>
      <c r="K17" s="107">
        <f>SUM(K18:K19)</f>
        <v>33284080</v>
      </c>
      <c r="L17" s="107">
        <f t="shared" si="7"/>
        <v>90638927</v>
      </c>
    </row>
    <row r="18" spans="1:17" ht="31.5" customHeight="1" x14ac:dyDescent="0.25">
      <c r="A18" s="108">
        <v>208100</v>
      </c>
      <c r="B18" s="113" t="s">
        <v>364</v>
      </c>
      <c r="C18" s="107">
        <f t="shared" si="3"/>
        <v>5273600</v>
      </c>
      <c r="D18" s="107">
        <f t="shared" si="4"/>
        <v>42219470</v>
      </c>
      <c r="E18" s="107">
        <f t="shared" si="5"/>
        <v>47493070</v>
      </c>
      <c r="F18" s="32">
        <v>0</v>
      </c>
      <c r="G18" s="32">
        <f>40061863+500000+250000-200000</f>
        <v>40611863</v>
      </c>
      <c r="H18" s="107">
        <f t="shared" si="9"/>
        <v>40611863</v>
      </c>
      <c r="I18" s="32">
        <v>5273600</v>
      </c>
      <c r="J18" s="32">
        <f>849360+758247</f>
        <v>1607607</v>
      </c>
      <c r="K18" s="32">
        <f>849360</f>
        <v>849360</v>
      </c>
      <c r="L18" s="107">
        <f t="shared" si="7"/>
        <v>6881207</v>
      </c>
    </row>
    <row r="19" spans="1:17" ht="25.5" x14ac:dyDescent="0.25">
      <c r="A19" s="108">
        <v>208400</v>
      </c>
      <c r="B19" s="113" t="s">
        <v>266</v>
      </c>
      <c r="C19" s="107">
        <f t="shared" si="3"/>
        <v>0</v>
      </c>
      <c r="D19" s="107">
        <f t="shared" si="4"/>
        <v>0</v>
      </c>
      <c r="E19" s="107">
        <f t="shared" si="5"/>
        <v>0</v>
      </c>
      <c r="F19" s="32">
        <v>-51323000</v>
      </c>
      <c r="G19" s="32">
        <v>-32434720</v>
      </c>
      <c r="H19" s="107">
        <f t="shared" si="9"/>
        <v>-83757720</v>
      </c>
      <c r="I19" s="32">
        <v>51323000</v>
      </c>
      <c r="J19" s="32">
        <v>32434720</v>
      </c>
      <c r="K19" s="32">
        <v>32434720</v>
      </c>
      <c r="L19" s="107">
        <f t="shared" si="7"/>
        <v>83757720</v>
      </c>
    </row>
    <row r="20" spans="1:17" ht="18.75" x14ac:dyDescent="0.3">
      <c r="A20" s="109" t="s">
        <v>232</v>
      </c>
      <c r="B20" s="77" t="s">
        <v>142</v>
      </c>
      <c r="C20" s="107">
        <f t="shared" si="3"/>
        <v>45394060</v>
      </c>
      <c r="D20" s="107">
        <f t="shared" si="4"/>
        <v>42219470</v>
      </c>
      <c r="E20" s="107">
        <f t="shared" si="5"/>
        <v>87613530</v>
      </c>
      <c r="F20" s="107">
        <f>SUM(F12)</f>
        <v>-51323000</v>
      </c>
      <c r="G20" s="107">
        <f t="shared" ref="G20:K20" si="11">SUM(G12)</f>
        <v>8177143</v>
      </c>
      <c r="H20" s="107">
        <f t="shared" si="11"/>
        <v>-43145857</v>
      </c>
      <c r="I20" s="107">
        <f t="shared" si="11"/>
        <v>96717060</v>
      </c>
      <c r="J20" s="107">
        <f t="shared" si="11"/>
        <v>34042327</v>
      </c>
      <c r="K20" s="107">
        <f t="shared" si="11"/>
        <v>33284080</v>
      </c>
      <c r="L20" s="107">
        <f t="shared" si="7"/>
        <v>130759387</v>
      </c>
      <c r="Q20" s="27"/>
    </row>
    <row r="21" spans="1:17" x14ac:dyDescent="0.25">
      <c r="A21" s="104" t="s">
        <v>267</v>
      </c>
      <c r="B21" s="104"/>
      <c r="C21" s="107"/>
      <c r="D21" s="107"/>
      <c r="E21" s="107"/>
      <c r="F21" s="104"/>
      <c r="G21" s="104"/>
      <c r="H21" s="107"/>
      <c r="I21" s="104"/>
      <c r="J21" s="104"/>
      <c r="K21" s="104"/>
      <c r="L21" s="107"/>
    </row>
    <row r="22" spans="1:17" x14ac:dyDescent="0.25">
      <c r="A22" s="34">
        <v>400000</v>
      </c>
      <c r="B22" s="18" t="s">
        <v>268</v>
      </c>
      <c r="C22" s="107">
        <f>SUM(F22+I22)</f>
        <v>40120460</v>
      </c>
      <c r="D22" s="107">
        <f t="shared" si="4"/>
        <v>0</v>
      </c>
      <c r="E22" s="107">
        <f t="shared" si="5"/>
        <v>40120460</v>
      </c>
      <c r="F22" s="13">
        <f>SUM(F23+F26)</f>
        <v>0</v>
      </c>
      <c r="G22" s="13">
        <f>SUM(G23+G26)</f>
        <v>0</v>
      </c>
      <c r="H22" s="13">
        <f t="shared" ref="H22:K22" si="12">SUM(H23+H26)</f>
        <v>0</v>
      </c>
      <c r="I22" s="13">
        <f>SUM(I23+I26)</f>
        <v>40120460</v>
      </c>
      <c r="J22" s="13">
        <f t="shared" si="12"/>
        <v>0</v>
      </c>
      <c r="K22" s="13">
        <f t="shared" si="12"/>
        <v>0</v>
      </c>
      <c r="L22" s="107">
        <f>SUM(I22:J22)</f>
        <v>40120460</v>
      </c>
    </row>
    <row r="23" spans="1:17" x14ac:dyDescent="0.25">
      <c r="A23" s="34">
        <v>401000</v>
      </c>
      <c r="B23" s="12" t="s">
        <v>269</v>
      </c>
      <c r="C23" s="107">
        <f t="shared" si="3"/>
        <v>40140000</v>
      </c>
      <c r="D23" s="107">
        <f t="shared" si="4"/>
        <v>0</v>
      </c>
      <c r="E23" s="107">
        <f t="shared" si="5"/>
        <v>40140000</v>
      </c>
      <c r="F23" s="13">
        <f t="shared" ref="F23:H23" si="13">SUM(F24)</f>
        <v>0</v>
      </c>
      <c r="G23" s="13">
        <f t="shared" si="13"/>
        <v>0</v>
      </c>
      <c r="H23" s="13">
        <f t="shared" si="13"/>
        <v>0</v>
      </c>
      <c r="I23" s="13">
        <f>SUM(I24)</f>
        <v>40140000</v>
      </c>
      <c r="J23" s="13">
        <f t="shared" ref="J23:K23" si="14">SUM(J24)</f>
        <v>0</v>
      </c>
      <c r="K23" s="13">
        <f t="shared" si="14"/>
        <v>0</v>
      </c>
      <c r="L23" s="107">
        <f t="shared" si="7"/>
        <v>40140000</v>
      </c>
    </row>
    <row r="24" spans="1:17" x14ac:dyDescent="0.25">
      <c r="A24" s="15">
        <v>401100</v>
      </c>
      <c r="B24" s="16" t="s">
        <v>270</v>
      </c>
      <c r="C24" s="107">
        <f t="shared" si="3"/>
        <v>40140000</v>
      </c>
      <c r="D24" s="107">
        <f t="shared" si="4"/>
        <v>0</v>
      </c>
      <c r="E24" s="107">
        <f t="shared" si="5"/>
        <v>40140000</v>
      </c>
      <c r="F24" s="19">
        <f t="shared" ref="F24:H24" si="15">SUM(F25)</f>
        <v>0</v>
      </c>
      <c r="G24" s="19">
        <f t="shared" si="15"/>
        <v>0</v>
      </c>
      <c r="H24" s="13">
        <f t="shared" si="15"/>
        <v>0</v>
      </c>
      <c r="I24" s="19">
        <f>SUM(I25)</f>
        <v>40140000</v>
      </c>
      <c r="J24" s="19">
        <f t="shared" ref="J24:K24" si="16">SUM(J25)</f>
        <v>0</v>
      </c>
      <c r="K24" s="19">
        <f t="shared" si="16"/>
        <v>0</v>
      </c>
      <c r="L24" s="107">
        <f t="shared" si="7"/>
        <v>40140000</v>
      </c>
    </row>
    <row r="25" spans="1:17" x14ac:dyDescent="0.25">
      <c r="A25" s="15">
        <v>401101</v>
      </c>
      <c r="B25" s="16" t="s">
        <v>271</v>
      </c>
      <c r="C25" s="107">
        <f t="shared" si="3"/>
        <v>40140000</v>
      </c>
      <c r="D25" s="107">
        <f t="shared" si="4"/>
        <v>0</v>
      </c>
      <c r="E25" s="107">
        <f t="shared" si="5"/>
        <v>40140000</v>
      </c>
      <c r="F25" s="19">
        <v>0</v>
      </c>
      <c r="G25" s="19"/>
      <c r="H25" s="107">
        <f t="shared" si="9"/>
        <v>0</v>
      </c>
      <c r="I25" s="19">
        <v>40140000</v>
      </c>
      <c r="J25" s="19"/>
      <c r="K25" s="19"/>
      <c r="L25" s="107">
        <f t="shared" si="7"/>
        <v>40140000</v>
      </c>
    </row>
    <row r="26" spans="1:17" x14ac:dyDescent="0.25">
      <c r="A26" s="34">
        <v>402000</v>
      </c>
      <c r="B26" s="12" t="s">
        <v>272</v>
      </c>
      <c r="C26" s="107">
        <f t="shared" si="3"/>
        <v>-19540</v>
      </c>
      <c r="D26" s="107">
        <f t="shared" si="4"/>
        <v>0</v>
      </c>
      <c r="E26" s="107">
        <f t="shared" si="5"/>
        <v>-19540</v>
      </c>
      <c r="F26" s="13">
        <f t="shared" ref="F26:H26" si="17">SUM(F27)</f>
        <v>0</v>
      </c>
      <c r="G26" s="13">
        <f t="shared" si="17"/>
        <v>0</v>
      </c>
      <c r="H26" s="13">
        <f t="shared" si="17"/>
        <v>0</v>
      </c>
      <c r="I26" s="13">
        <f>SUM(I27)</f>
        <v>-19540</v>
      </c>
      <c r="J26" s="13">
        <f t="shared" ref="J26:K26" si="18">SUM(J27)</f>
        <v>0</v>
      </c>
      <c r="K26" s="13">
        <f t="shared" si="18"/>
        <v>0</v>
      </c>
      <c r="L26" s="107">
        <f t="shared" si="7"/>
        <v>-19540</v>
      </c>
    </row>
    <row r="27" spans="1:17" x14ac:dyDescent="0.25">
      <c r="A27" s="15">
        <v>402100</v>
      </c>
      <c r="B27" s="16" t="s">
        <v>273</v>
      </c>
      <c r="C27" s="107">
        <f t="shared" si="3"/>
        <v>-19540</v>
      </c>
      <c r="D27" s="107">
        <f t="shared" si="4"/>
        <v>0</v>
      </c>
      <c r="E27" s="107">
        <f t="shared" si="5"/>
        <v>-19540</v>
      </c>
      <c r="F27" s="19">
        <f t="shared" ref="F27:H27" si="19">SUM(F28)</f>
        <v>0</v>
      </c>
      <c r="G27" s="19">
        <f t="shared" si="19"/>
        <v>0</v>
      </c>
      <c r="H27" s="13">
        <f t="shared" si="19"/>
        <v>0</v>
      </c>
      <c r="I27" s="19">
        <f>SUM(I28)</f>
        <v>-19540</v>
      </c>
      <c r="J27" s="19">
        <f t="shared" ref="J27:K27" si="20">SUM(J28)</f>
        <v>0</v>
      </c>
      <c r="K27" s="19">
        <f t="shared" si="20"/>
        <v>0</v>
      </c>
      <c r="L27" s="107">
        <f t="shared" si="7"/>
        <v>-19540</v>
      </c>
    </row>
    <row r="28" spans="1:17" x14ac:dyDescent="0.25">
      <c r="A28" s="15">
        <v>402101</v>
      </c>
      <c r="B28" s="16" t="s">
        <v>271</v>
      </c>
      <c r="C28" s="107">
        <f t="shared" si="3"/>
        <v>-19540</v>
      </c>
      <c r="D28" s="107">
        <f t="shared" si="4"/>
        <v>0</v>
      </c>
      <c r="E28" s="107">
        <f t="shared" si="5"/>
        <v>-19540</v>
      </c>
      <c r="F28" s="19"/>
      <c r="G28" s="19"/>
      <c r="H28" s="107">
        <f t="shared" si="9"/>
        <v>0</v>
      </c>
      <c r="I28" s="19">
        <v>-19540</v>
      </c>
      <c r="J28" s="19"/>
      <c r="K28" s="19"/>
      <c r="L28" s="107">
        <f t="shared" si="7"/>
        <v>-19540</v>
      </c>
    </row>
    <row r="29" spans="1:17" x14ac:dyDescent="0.25">
      <c r="A29" s="105">
        <v>600000</v>
      </c>
      <c r="B29" s="112" t="s">
        <v>143</v>
      </c>
      <c r="C29" s="107">
        <f t="shared" si="3"/>
        <v>5273600</v>
      </c>
      <c r="D29" s="107">
        <f t="shared" si="4"/>
        <v>42219470</v>
      </c>
      <c r="E29" s="107">
        <f t="shared" si="5"/>
        <v>47493070</v>
      </c>
      <c r="F29" s="107">
        <f>SUM(F30)</f>
        <v>-51323000</v>
      </c>
      <c r="G29" s="107">
        <f t="shared" ref="G29:K29" si="21">SUM(G30)</f>
        <v>8177143</v>
      </c>
      <c r="H29" s="107">
        <f>SUM(H30)</f>
        <v>-43145857</v>
      </c>
      <c r="I29" s="107">
        <f t="shared" si="21"/>
        <v>56596600</v>
      </c>
      <c r="J29" s="107">
        <f t="shared" si="21"/>
        <v>34042327</v>
      </c>
      <c r="K29" s="107">
        <f t="shared" si="21"/>
        <v>33284080</v>
      </c>
      <c r="L29" s="107">
        <f t="shared" si="7"/>
        <v>90638927</v>
      </c>
    </row>
    <row r="30" spans="1:17" x14ac:dyDescent="0.25">
      <c r="A30" s="108">
        <v>602000</v>
      </c>
      <c r="B30" s="113" t="s">
        <v>274</v>
      </c>
      <c r="C30" s="107">
        <f t="shared" si="3"/>
        <v>5273600</v>
      </c>
      <c r="D30" s="107">
        <f t="shared" si="4"/>
        <v>42219470</v>
      </c>
      <c r="E30" s="107">
        <f t="shared" si="5"/>
        <v>47493070</v>
      </c>
      <c r="F30" s="32">
        <f>SUM(F31:F32)</f>
        <v>-51323000</v>
      </c>
      <c r="G30" s="32">
        <f t="shared" ref="G30:K30" si="22">SUM(G31:G32)</f>
        <v>8177143</v>
      </c>
      <c r="H30" s="107">
        <f>SUM(H31:H32)</f>
        <v>-43145857</v>
      </c>
      <c r="I30" s="32">
        <f t="shared" si="22"/>
        <v>56596600</v>
      </c>
      <c r="J30" s="32">
        <f t="shared" si="22"/>
        <v>34042327</v>
      </c>
      <c r="K30" s="32">
        <f t="shared" si="22"/>
        <v>33284080</v>
      </c>
      <c r="L30" s="107">
        <f t="shared" si="7"/>
        <v>90638927</v>
      </c>
    </row>
    <row r="31" spans="1:17" x14ac:dyDescent="0.25">
      <c r="A31" s="108">
        <v>602100</v>
      </c>
      <c r="B31" s="113" t="s">
        <v>364</v>
      </c>
      <c r="C31" s="107">
        <f t="shared" si="3"/>
        <v>5273600</v>
      </c>
      <c r="D31" s="107">
        <f t="shared" si="4"/>
        <v>42219470</v>
      </c>
      <c r="E31" s="107">
        <f t="shared" si="5"/>
        <v>47493070</v>
      </c>
      <c r="F31" s="32">
        <v>0</v>
      </c>
      <c r="G31" s="32">
        <f>40061863+500000+250000-200000</f>
        <v>40611863</v>
      </c>
      <c r="H31" s="107">
        <f>SUM(F31:G31)</f>
        <v>40611863</v>
      </c>
      <c r="I31" s="32">
        <v>5273600</v>
      </c>
      <c r="J31" s="32">
        <f>849360+758247</f>
        <v>1607607</v>
      </c>
      <c r="K31" s="32">
        <f>849360</f>
        <v>849360</v>
      </c>
      <c r="L31" s="107">
        <f>SUM(I31:K31)</f>
        <v>7730567</v>
      </c>
    </row>
    <row r="32" spans="1:17" ht="25.5" x14ac:dyDescent="0.25">
      <c r="A32" s="108">
        <v>602400</v>
      </c>
      <c r="B32" s="113" t="s">
        <v>266</v>
      </c>
      <c r="C32" s="107">
        <f t="shared" si="3"/>
        <v>0</v>
      </c>
      <c r="D32" s="107">
        <f t="shared" si="4"/>
        <v>0</v>
      </c>
      <c r="E32" s="107">
        <f t="shared" si="5"/>
        <v>0</v>
      </c>
      <c r="F32" s="32">
        <v>-51323000</v>
      </c>
      <c r="G32" s="32">
        <v>-32434720</v>
      </c>
      <c r="H32" s="107">
        <f>SUM(F32:G32)</f>
        <v>-83757720</v>
      </c>
      <c r="I32" s="32">
        <v>51323000</v>
      </c>
      <c r="J32" s="32">
        <v>32434720</v>
      </c>
      <c r="K32" s="32">
        <v>32434720</v>
      </c>
      <c r="L32" s="107">
        <f t="shared" si="7"/>
        <v>83757720</v>
      </c>
    </row>
    <row r="33" spans="1:17" x14ac:dyDescent="0.25">
      <c r="A33" s="109" t="s">
        <v>232</v>
      </c>
      <c r="B33" s="77" t="s">
        <v>142</v>
      </c>
      <c r="C33" s="107">
        <f t="shared" si="3"/>
        <v>45394060</v>
      </c>
      <c r="D33" s="107">
        <f t="shared" si="4"/>
        <v>42219470</v>
      </c>
      <c r="E33" s="107">
        <f t="shared" si="5"/>
        <v>87613530</v>
      </c>
      <c r="F33" s="107">
        <f>SUM(F22+F29)</f>
        <v>-51323000</v>
      </c>
      <c r="G33" s="107">
        <f t="shared" ref="G33:K33" si="23">SUM(G22+G29)</f>
        <v>8177143</v>
      </c>
      <c r="H33" s="107">
        <f>SUM(H22+H29)</f>
        <v>-43145857</v>
      </c>
      <c r="I33" s="107">
        <f t="shared" si="23"/>
        <v>96717060</v>
      </c>
      <c r="J33" s="107">
        <f t="shared" si="23"/>
        <v>34042327</v>
      </c>
      <c r="K33" s="107">
        <f t="shared" si="23"/>
        <v>33284080</v>
      </c>
      <c r="L33" s="107">
        <f t="shared" si="7"/>
        <v>130759387</v>
      </c>
    </row>
    <row r="35" spans="1:17" ht="18.75" x14ac:dyDescent="0.3">
      <c r="B35" s="27" t="s">
        <v>230</v>
      </c>
      <c r="I35" s="27" t="s">
        <v>231</v>
      </c>
      <c r="J35" s="27"/>
      <c r="K35" s="27"/>
      <c r="L35" s="35"/>
      <c r="Q35" s="27"/>
    </row>
    <row r="36" spans="1:17" x14ac:dyDescent="0.25">
      <c r="C36" s="35"/>
      <c r="D36" s="35"/>
      <c r="E36" s="35"/>
      <c r="F36" s="35"/>
      <c r="G36" s="35"/>
      <c r="H36" s="35"/>
    </row>
    <row r="39" spans="1:17" x14ac:dyDescent="0.25">
      <c r="I39" s="35"/>
      <c r="J39" s="35"/>
      <c r="K39" s="35"/>
    </row>
  </sheetData>
  <mergeCells count="17">
    <mergeCell ref="H8:H9"/>
    <mergeCell ref="I8:I9"/>
    <mergeCell ref="J8:K8"/>
    <mergeCell ref="L8:L9"/>
    <mergeCell ref="A3:L3"/>
    <mergeCell ref="A4:L4"/>
    <mergeCell ref="A5:L5"/>
    <mergeCell ref="A7:A9"/>
    <mergeCell ref="B7:B9"/>
    <mergeCell ref="I7:L7"/>
    <mergeCell ref="C7:E7"/>
    <mergeCell ref="C8:C9"/>
    <mergeCell ref="D8:D9"/>
    <mergeCell ref="E8:E9"/>
    <mergeCell ref="F7:H7"/>
    <mergeCell ref="F8:F9"/>
    <mergeCell ref="G8:G9"/>
  </mergeCells>
  <pageMargins left="0.70866141732283472" right="0.31496062992125984" top="0.55118110236220474" bottom="0.35433070866141736" header="0.11811023622047245" footer="0.11811023622047245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07"/>
  <sheetViews>
    <sheetView topLeftCell="A34" zoomScale="120" zoomScaleNormal="120" workbookViewId="0">
      <selection activeCell="F66" sqref="F66"/>
    </sheetView>
  </sheetViews>
  <sheetFormatPr defaultRowHeight="15" x14ac:dyDescent="0.25"/>
  <cols>
    <col min="1" max="1" width="9.28515625" bestFit="1" customWidth="1"/>
    <col min="2" max="3" width="8.42578125" customWidth="1"/>
    <col min="4" max="4" width="34.28515625" customWidth="1"/>
    <col min="5" max="5" width="12.7109375" customWidth="1"/>
    <col min="6" max="6" width="15.42578125" customWidth="1"/>
    <col min="7" max="7" width="11.85546875" customWidth="1"/>
    <col min="8" max="8" width="10.5703125" customWidth="1"/>
    <col min="9" max="9" width="12.7109375" customWidth="1"/>
    <col min="10" max="10" width="11.5703125" customWidth="1"/>
    <col min="11" max="11" width="11.85546875" customWidth="1"/>
    <col min="12" max="12" width="10" bestFit="1" customWidth="1"/>
    <col min="13" max="13" width="11.5703125" customWidth="1"/>
    <col min="14" max="14" width="11" customWidth="1"/>
    <col min="15" max="15" width="12" customWidth="1"/>
    <col min="16" max="16" width="11.85546875" customWidth="1"/>
    <col min="19" max="19" width="16" customWidth="1"/>
    <col min="20" max="20" width="18.5703125" customWidth="1"/>
  </cols>
  <sheetData>
    <row r="1" spans="1:16" ht="18.75" x14ac:dyDescent="0.25">
      <c r="A1" s="22"/>
      <c r="B1" s="22"/>
      <c r="C1" s="22"/>
      <c r="D1" s="9"/>
      <c r="E1" s="22"/>
      <c r="F1" s="22"/>
      <c r="G1" s="26"/>
      <c r="H1" s="26"/>
      <c r="I1" s="26"/>
      <c r="J1" s="26"/>
      <c r="K1" s="9"/>
      <c r="L1" s="26"/>
      <c r="M1" s="9" t="s">
        <v>386</v>
      </c>
      <c r="N1" s="26"/>
      <c r="O1" s="26"/>
      <c r="P1" s="26"/>
    </row>
    <row r="2" spans="1:16" ht="18.75" x14ac:dyDescent="0.25">
      <c r="A2" s="22"/>
      <c r="B2" s="22"/>
      <c r="C2" s="22"/>
      <c r="D2" s="10"/>
      <c r="E2" s="22"/>
      <c r="F2" s="22"/>
      <c r="G2" s="26"/>
      <c r="H2" s="26"/>
      <c r="I2" s="26"/>
      <c r="J2" s="26"/>
      <c r="K2" s="10"/>
      <c r="L2" s="26"/>
      <c r="M2" s="10" t="s">
        <v>543</v>
      </c>
      <c r="N2" s="26"/>
      <c r="O2" s="26"/>
      <c r="P2" s="26"/>
    </row>
    <row r="3" spans="1:16" ht="18.75" x14ac:dyDescent="0.25">
      <c r="A3" s="245" t="s">
        <v>345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</row>
    <row r="4" spans="1:16" ht="15.75" x14ac:dyDescent="0.25">
      <c r="A4" s="25" t="s">
        <v>333</v>
      </c>
      <c r="B4" s="26"/>
      <c r="C4" s="26"/>
      <c r="D4" s="26"/>
      <c r="E4" s="26"/>
      <c r="F4" s="26"/>
      <c r="G4" s="26"/>
      <c r="H4" s="26"/>
      <c r="I4" s="26"/>
      <c r="J4" s="25"/>
      <c r="K4" s="26"/>
      <c r="L4" s="26"/>
      <c r="M4" s="26"/>
      <c r="N4" s="26"/>
      <c r="O4" s="26"/>
      <c r="P4" s="26"/>
    </row>
    <row r="5" spans="1:16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 t="s">
        <v>137</v>
      </c>
      <c r="P5" s="26"/>
    </row>
    <row r="6" spans="1:16" ht="15" customHeight="1" x14ac:dyDescent="0.25">
      <c r="A6" s="288" t="s">
        <v>144</v>
      </c>
      <c r="B6" s="288" t="s">
        <v>1</v>
      </c>
      <c r="C6" s="288" t="s">
        <v>145</v>
      </c>
      <c r="D6" s="285" t="s">
        <v>146</v>
      </c>
      <c r="E6" s="284" t="s">
        <v>7</v>
      </c>
      <c r="F6" s="284"/>
      <c r="G6" s="284"/>
      <c r="H6" s="284"/>
      <c r="I6" s="284"/>
      <c r="J6" s="284" t="s">
        <v>8</v>
      </c>
      <c r="K6" s="284"/>
      <c r="L6" s="284"/>
      <c r="M6" s="284"/>
      <c r="N6" s="284"/>
      <c r="O6" s="284"/>
      <c r="P6" s="285" t="s">
        <v>147</v>
      </c>
    </row>
    <row r="7" spans="1:16" ht="15" customHeight="1" x14ac:dyDescent="0.25">
      <c r="A7" s="289"/>
      <c r="B7" s="289"/>
      <c r="C7" s="289"/>
      <c r="D7" s="286"/>
      <c r="E7" s="284" t="s">
        <v>338</v>
      </c>
      <c r="F7" s="284" t="s">
        <v>336</v>
      </c>
      <c r="G7" s="284"/>
      <c r="H7" s="284"/>
      <c r="I7" s="284" t="s">
        <v>337</v>
      </c>
      <c r="J7" s="284" t="s">
        <v>338</v>
      </c>
      <c r="K7" s="284" t="s">
        <v>336</v>
      </c>
      <c r="L7" s="284"/>
      <c r="M7" s="284"/>
      <c r="N7" s="284"/>
      <c r="O7" s="284" t="s">
        <v>337</v>
      </c>
      <c r="P7" s="286"/>
    </row>
    <row r="8" spans="1:16" ht="12.75" customHeight="1" x14ac:dyDescent="0.25">
      <c r="A8" s="289"/>
      <c r="B8" s="289"/>
      <c r="C8" s="289"/>
      <c r="D8" s="286"/>
      <c r="E8" s="284"/>
      <c r="F8" s="284" t="s">
        <v>6</v>
      </c>
      <c r="G8" s="284" t="s">
        <v>149</v>
      </c>
      <c r="H8" s="284"/>
      <c r="I8" s="284"/>
      <c r="J8" s="284"/>
      <c r="K8" s="284" t="s">
        <v>9</v>
      </c>
      <c r="L8" s="284" t="s">
        <v>148</v>
      </c>
      <c r="M8" s="284" t="s">
        <v>150</v>
      </c>
      <c r="N8" s="158" t="s">
        <v>149</v>
      </c>
      <c r="O8" s="284"/>
      <c r="P8" s="286"/>
    </row>
    <row r="9" spans="1:16" ht="31.5" x14ac:dyDescent="0.25">
      <c r="A9" s="290"/>
      <c r="B9" s="290"/>
      <c r="C9" s="290"/>
      <c r="D9" s="287"/>
      <c r="E9" s="284"/>
      <c r="F9" s="284"/>
      <c r="G9" s="158" t="s">
        <v>151</v>
      </c>
      <c r="H9" s="158" t="s">
        <v>152</v>
      </c>
      <c r="I9" s="284"/>
      <c r="J9" s="284"/>
      <c r="K9" s="284"/>
      <c r="L9" s="284"/>
      <c r="M9" s="284"/>
      <c r="N9" s="158" t="s">
        <v>339</v>
      </c>
      <c r="O9" s="284"/>
      <c r="P9" s="287"/>
    </row>
    <row r="10" spans="1:16" ht="14.45" customHeight="1" x14ac:dyDescent="0.25">
      <c r="A10" s="159">
        <v>1</v>
      </c>
      <c r="B10" s="159">
        <v>2</v>
      </c>
      <c r="C10" s="159">
        <v>3</v>
      </c>
      <c r="D10" s="159">
        <v>4</v>
      </c>
      <c r="E10" s="159">
        <v>5</v>
      </c>
      <c r="F10" s="159">
        <v>6</v>
      </c>
      <c r="G10" s="159">
        <v>7</v>
      </c>
      <c r="H10" s="159">
        <v>8</v>
      </c>
      <c r="I10" s="159">
        <v>9</v>
      </c>
      <c r="J10" s="159">
        <v>10</v>
      </c>
      <c r="K10" s="159">
        <v>11</v>
      </c>
      <c r="L10" s="159">
        <v>12</v>
      </c>
      <c r="M10" s="159">
        <v>13</v>
      </c>
      <c r="N10" s="159">
        <v>14</v>
      </c>
      <c r="O10" s="159">
        <v>15</v>
      </c>
      <c r="P10" s="159">
        <v>16</v>
      </c>
    </row>
    <row r="11" spans="1:16" x14ac:dyDescent="0.25">
      <c r="A11" s="160" t="s">
        <v>153</v>
      </c>
      <c r="B11" s="161"/>
      <c r="C11" s="161"/>
      <c r="D11" s="162" t="s">
        <v>11</v>
      </c>
      <c r="E11" s="8">
        <f>SUM(E12:E32)</f>
        <v>141414606</v>
      </c>
      <c r="F11" s="8">
        <f>SUM(F12:F32)</f>
        <v>-7144345.1899999995</v>
      </c>
      <c r="G11" s="8">
        <f>SUM(G12:G32)</f>
        <v>297657.76</v>
      </c>
      <c r="H11" s="8">
        <f>SUM(H12:H32)</f>
        <v>128620</v>
      </c>
      <c r="I11" s="8">
        <f>SUM(E11:F11)</f>
        <v>134270260.81</v>
      </c>
      <c r="J11" s="8">
        <f t="shared" ref="J11:O11" si="0">SUM(J12:J32)</f>
        <v>23546800</v>
      </c>
      <c r="K11" s="8">
        <f t="shared" si="0"/>
        <v>9763247</v>
      </c>
      <c r="L11" s="8">
        <f t="shared" si="0"/>
        <v>758247</v>
      </c>
      <c r="M11" s="8">
        <f t="shared" si="0"/>
        <v>9005000</v>
      </c>
      <c r="N11" s="8">
        <f t="shared" si="0"/>
        <v>7205640</v>
      </c>
      <c r="O11" s="8">
        <f t="shared" si="0"/>
        <v>33310047</v>
      </c>
      <c r="P11" s="8">
        <f>SUM(I11+O11)</f>
        <v>167580307.81</v>
      </c>
    </row>
    <row r="12" spans="1:16" ht="56.25" x14ac:dyDescent="0.25">
      <c r="A12" s="24" t="s">
        <v>154</v>
      </c>
      <c r="B12" s="24" t="s">
        <v>155</v>
      </c>
      <c r="C12" s="24" t="s">
        <v>156</v>
      </c>
      <c r="D12" s="163" t="s">
        <v>157</v>
      </c>
      <c r="E12" s="164">
        <v>69479934</v>
      </c>
      <c r="F12" s="164">
        <f>20000</f>
        <v>20000</v>
      </c>
      <c r="G12" s="164"/>
      <c r="H12" s="164"/>
      <c r="I12" s="8">
        <f>SUM(E12:F12)</f>
        <v>69499934</v>
      </c>
      <c r="J12" s="164"/>
      <c r="K12" s="164">
        <v>200000</v>
      </c>
      <c r="L12" s="165"/>
      <c r="M12" s="164">
        <v>200000</v>
      </c>
      <c r="N12" s="164">
        <v>200000</v>
      </c>
      <c r="O12" s="8">
        <f t="shared" ref="O12:O88" si="1">SUM(J12+K12)</f>
        <v>200000</v>
      </c>
      <c r="P12" s="8">
        <f t="shared" ref="P12:P88" si="2">SUM(I12+O12)</f>
        <v>69699934</v>
      </c>
    </row>
    <row r="13" spans="1:16" x14ac:dyDescent="0.25">
      <c r="A13" s="24" t="s">
        <v>158</v>
      </c>
      <c r="B13" s="24" t="s">
        <v>159</v>
      </c>
      <c r="C13" s="24" t="s">
        <v>160</v>
      </c>
      <c r="D13" s="163" t="s">
        <v>161</v>
      </c>
      <c r="E13" s="164">
        <v>1034000</v>
      </c>
      <c r="F13" s="164">
        <f>100000+70000</f>
        <v>170000</v>
      </c>
      <c r="G13" s="164"/>
      <c r="H13" s="164"/>
      <c r="I13" s="8">
        <f t="shared" ref="I13:I88" si="3">SUM(E13:F13)</f>
        <v>1204000</v>
      </c>
      <c r="J13" s="164">
        <v>500000</v>
      </c>
      <c r="K13" s="164">
        <v>-300000</v>
      </c>
      <c r="L13" s="165"/>
      <c r="M13" s="164">
        <v>-300000</v>
      </c>
      <c r="N13" s="164">
        <v>-300000</v>
      </c>
      <c r="O13" s="8">
        <f t="shared" si="1"/>
        <v>200000</v>
      </c>
      <c r="P13" s="8">
        <f t="shared" si="2"/>
        <v>1404000</v>
      </c>
    </row>
    <row r="14" spans="1:16" ht="22.5" x14ac:dyDescent="0.25">
      <c r="A14" s="24" t="s">
        <v>162</v>
      </c>
      <c r="B14" s="24">
        <v>1160</v>
      </c>
      <c r="C14" s="24" t="s">
        <v>163</v>
      </c>
      <c r="D14" s="163" t="s">
        <v>164</v>
      </c>
      <c r="E14" s="164">
        <v>3415025</v>
      </c>
      <c r="F14" s="164"/>
      <c r="G14" s="164"/>
      <c r="H14" s="164"/>
      <c r="I14" s="8">
        <f t="shared" si="3"/>
        <v>3415025</v>
      </c>
      <c r="J14" s="164">
        <v>200000</v>
      </c>
      <c r="K14" s="164"/>
      <c r="L14" s="165"/>
      <c r="M14" s="164"/>
      <c r="N14" s="164"/>
      <c r="O14" s="8">
        <f t="shared" si="1"/>
        <v>200000</v>
      </c>
      <c r="P14" s="8">
        <f t="shared" si="2"/>
        <v>3615025</v>
      </c>
    </row>
    <row r="15" spans="1:16" ht="33.75" x14ac:dyDescent="0.25">
      <c r="A15" s="11" t="s">
        <v>165</v>
      </c>
      <c r="B15" s="11">
        <v>1151</v>
      </c>
      <c r="C15" s="11" t="s">
        <v>163</v>
      </c>
      <c r="D15" s="163" t="s">
        <v>166</v>
      </c>
      <c r="E15" s="164">
        <v>751228</v>
      </c>
      <c r="F15" s="164"/>
      <c r="G15" s="164"/>
      <c r="H15" s="164"/>
      <c r="I15" s="8">
        <f t="shared" si="3"/>
        <v>751228</v>
      </c>
      <c r="J15" s="164">
        <v>300000</v>
      </c>
      <c r="K15" s="164"/>
      <c r="L15" s="165"/>
      <c r="M15" s="164"/>
      <c r="N15" s="164"/>
      <c r="O15" s="8">
        <f t="shared" si="1"/>
        <v>300000</v>
      </c>
      <c r="P15" s="8">
        <f t="shared" si="2"/>
        <v>1051228</v>
      </c>
    </row>
    <row r="16" spans="1:16" ht="33.75" x14ac:dyDescent="0.25">
      <c r="A16" s="11" t="s">
        <v>167</v>
      </c>
      <c r="B16" s="11">
        <v>1152</v>
      </c>
      <c r="C16" s="11" t="s">
        <v>163</v>
      </c>
      <c r="D16" s="163" t="s">
        <v>168</v>
      </c>
      <c r="E16" s="164">
        <v>2026900</v>
      </c>
      <c r="F16" s="164"/>
      <c r="G16" s="164"/>
      <c r="H16" s="164"/>
      <c r="I16" s="8">
        <f t="shared" si="3"/>
        <v>2026900</v>
      </c>
      <c r="J16" s="164"/>
      <c r="K16" s="164"/>
      <c r="L16" s="165"/>
      <c r="M16" s="164"/>
      <c r="N16" s="164"/>
      <c r="O16" s="8">
        <f t="shared" si="1"/>
        <v>0</v>
      </c>
      <c r="P16" s="8">
        <f t="shared" si="2"/>
        <v>2026900</v>
      </c>
    </row>
    <row r="17" spans="1:20" ht="22.5" x14ac:dyDescent="0.25">
      <c r="A17" s="11" t="s">
        <v>250</v>
      </c>
      <c r="B17" s="11" t="s">
        <v>249</v>
      </c>
      <c r="C17" s="11" t="s">
        <v>248</v>
      </c>
      <c r="D17" s="163" t="s">
        <v>247</v>
      </c>
      <c r="E17" s="164">
        <v>8926768</v>
      </c>
      <c r="F17" s="164">
        <v>281000</v>
      </c>
      <c r="G17" s="164"/>
      <c r="H17" s="164"/>
      <c r="I17" s="8">
        <f t="shared" si="3"/>
        <v>9207768</v>
      </c>
      <c r="J17" s="164"/>
      <c r="K17" s="164"/>
      <c r="L17" s="165"/>
      <c r="M17" s="164"/>
      <c r="N17" s="164"/>
      <c r="O17" s="8">
        <f t="shared" si="1"/>
        <v>0</v>
      </c>
      <c r="P17" s="8">
        <f t="shared" si="2"/>
        <v>9207768</v>
      </c>
      <c r="S17" s="35"/>
    </row>
    <row r="18" spans="1:20" ht="33.75" x14ac:dyDescent="0.25">
      <c r="A18" s="11" t="s">
        <v>169</v>
      </c>
      <c r="B18" s="11">
        <v>2111</v>
      </c>
      <c r="C18" s="11" t="s">
        <v>170</v>
      </c>
      <c r="D18" s="163" t="s">
        <v>171</v>
      </c>
      <c r="E18" s="164">
        <v>1671618</v>
      </c>
      <c r="F18" s="164">
        <f>264595</f>
        <v>264595</v>
      </c>
      <c r="G18" s="164"/>
      <c r="H18" s="164"/>
      <c r="I18" s="8">
        <f t="shared" si="3"/>
        <v>1936213</v>
      </c>
      <c r="J18" s="164"/>
      <c r="K18" s="164"/>
      <c r="L18" s="165"/>
      <c r="M18" s="164"/>
      <c r="N18" s="164"/>
      <c r="O18" s="8">
        <f t="shared" si="1"/>
        <v>0</v>
      </c>
      <c r="P18" s="8">
        <f t="shared" si="2"/>
        <v>1936213</v>
      </c>
    </row>
    <row r="19" spans="1:20" ht="22.5" x14ac:dyDescent="0.25">
      <c r="A19" s="11" t="s">
        <v>172</v>
      </c>
      <c r="B19" s="11">
        <v>2152</v>
      </c>
      <c r="C19" s="11" t="s">
        <v>173</v>
      </c>
      <c r="D19" s="163" t="s">
        <v>174</v>
      </c>
      <c r="E19" s="164">
        <f>380000+1820000+350000</f>
        <v>2550000</v>
      </c>
      <c r="F19" s="164">
        <f>49000+200000</f>
        <v>249000</v>
      </c>
      <c r="G19" s="164"/>
      <c r="H19" s="164"/>
      <c r="I19" s="8">
        <f t="shared" si="3"/>
        <v>2799000</v>
      </c>
      <c r="J19" s="164">
        <f>1350000+3500000</f>
        <v>4850000</v>
      </c>
      <c r="K19" s="164">
        <f>950000+1200000+1500000+758247+250000-200000+50000+295000</f>
        <v>4803247</v>
      </c>
      <c r="L19" s="165">
        <v>758247</v>
      </c>
      <c r="M19" s="164">
        <f>950000+1200000+1500000+250000-200000+50000+295000</f>
        <v>4045000</v>
      </c>
      <c r="N19" s="164">
        <f>350640+1500000+250000-200000+50000+295000</f>
        <v>2245640</v>
      </c>
      <c r="O19" s="8">
        <f t="shared" si="1"/>
        <v>9653247</v>
      </c>
      <c r="P19" s="8">
        <f t="shared" si="2"/>
        <v>12452247</v>
      </c>
    </row>
    <row r="20" spans="1:20" ht="33.75" x14ac:dyDescent="0.25">
      <c r="A20" s="11" t="s">
        <v>175</v>
      </c>
      <c r="B20" s="11">
        <v>3033</v>
      </c>
      <c r="C20" s="11">
        <v>1070</v>
      </c>
      <c r="D20" s="163" t="s">
        <v>176</v>
      </c>
      <c r="E20" s="164">
        <v>1054027</v>
      </c>
      <c r="F20" s="164"/>
      <c r="G20" s="164"/>
      <c r="H20" s="164"/>
      <c r="I20" s="8">
        <f t="shared" si="3"/>
        <v>1054027</v>
      </c>
      <c r="J20" s="164"/>
      <c r="K20" s="164"/>
      <c r="L20" s="165"/>
      <c r="M20" s="164"/>
      <c r="N20" s="164"/>
      <c r="O20" s="8">
        <f t="shared" si="1"/>
        <v>0</v>
      </c>
      <c r="P20" s="8">
        <f t="shared" si="2"/>
        <v>1054027</v>
      </c>
    </row>
    <row r="21" spans="1:20" ht="33.75" x14ac:dyDescent="0.25">
      <c r="A21" s="11" t="s">
        <v>177</v>
      </c>
      <c r="B21" s="11">
        <v>3050</v>
      </c>
      <c r="C21" s="11">
        <v>1070</v>
      </c>
      <c r="D21" s="163" t="s">
        <v>178</v>
      </c>
      <c r="E21" s="164">
        <v>56925</v>
      </c>
      <c r="F21" s="164"/>
      <c r="G21" s="164"/>
      <c r="H21" s="164"/>
      <c r="I21" s="8">
        <f t="shared" si="3"/>
        <v>56925</v>
      </c>
      <c r="J21" s="164"/>
      <c r="K21" s="164"/>
      <c r="L21" s="165"/>
      <c r="M21" s="164"/>
      <c r="N21" s="164"/>
      <c r="O21" s="8">
        <f t="shared" si="1"/>
        <v>0</v>
      </c>
      <c r="P21" s="8">
        <f t="shared" si="2"/>
        <v>56925</v>
      </c>
    </row>
    <row r="22" spans="1:20" ht="22.5" x14ac:dyDescent="0.25">
      <c r="A22" s="11" t="s">
        <v>179</v>
      </c>
      <c r="B22" s="11">
        <v>3090</v>
      </c>
      <c r="C22" s="11">
        <v>1030</v>
      </c>
      <c r="D22" s="163" t="s">
        <v>180</v>
      </c>
      <c r="E22" s="164">
        <f>500000+13420</f>
        <v>513420</v>
      </c>
      <c r="F22" s="164"/>
      <c r="G22" s="164"/>
      <c r="H22" s="164"/>
      <c r="I22" s="8">
        <f t="shared" si="3"/>
        <v>513420</v>
      </c>
      <c r="J22" s="164"/>
      <c r="K22" s="164"/>
      <c r="L22" s="165"/>
      <c r="M22" s="164"/>
      <c r="N22" s="164"/>
      <c r="O22" s="8">
        <f t="shared" si="1"/>
        <v>0</v>
      </c>
      <c r="P22" s="8">
        <f t="shared" si="2"/>
        <v>513420</v>
      </c>
    </row>
    <row r="23" spans="1:20" ht="45" x14ac:dyDescent="0.25">
      <c r="A23" s="11" t="s">
        <v>181</v>
      </c>
      <c r="B23" s="11">
        <v>3104</v>
      </c>
      <c r="C23" s="11">
        <v>1020</v>
      </c>
      <c r="D23" s="163" t="s">
        <v>182</v>
      </c>
      <c r="E23" s="164">
        <v>7463865</v>
      </c>
      <c r="F23" s="164">
        <f>21420+130000</f>
        <v>151420</v>
      </c>
      <c r="G23" s="164">
        <f>106000</f>
        <v>106000</v>
      </c>
      <c r="H23" s="164">
        <f>21420</f>
        <v>21420</v>
      </c>
      <c r="I23" s="8">
        <f t="shared" si="3"/>
        <v>7615285</v>
      </c>
      <c r="J23" s="164">
        <v>1208200</v>
      </c>
      <c r="K23" s="164"/>
      <c r="L23" s="165"/>
      <c r="M23" s="164"/>
      <c r="N23" s="164"/>
      <c r="O23" s="8">
        <f t="shared" si="1"/>
        <v>1208200</v>
      </c>
      <c r="P23" s="8">
        <f t="shared" si="2"/>
        <v>8823485</v>
      </c>
    </row>
    <row r="24" spans="1:20" ht="67.5" x14ac:dyDescent="0.25">
      <c r="A24" s="11" t="s">
        <v>183</v>
      </c>
      <c r="B24" s="11">
        <v>3160</v>
      </c>
      <c r="C24" s="11">
        <v>1010</v>
      </c>
      <c r="D24" s="163" t="s">
        <v>184</v>
      </c>
      <c r="E24" s="164">
        <v>3000000</v>
      </c>
      <c r="F24" s="164"/>
      <c r="G24" s="164"/>
      <c r="H24" s="164"/>
      <c r="I24" s="8">
        <f t="shared" si="3"/>
        <v>3000000</v>
      </c>
      <c r="J24" s="164"/>
      <c r="K24" s="164"/>
      <c r="L24" s="165"/>
      <c r="M24" s="164"/>
      <c r="N24" s="164"/>
      <c r="O24" s="8">
        <f t="shared" si="1"/>
        <v>0</v>
      </c>
      <c r="P24" s="8">
        <f t="shared" si="2"/>
        <v>3000000</v>
      </c>
    </row>
    <row r="25" spans="1:20" ht="56.25" x14ac:dyDescent="0.25">
      <c r="A25" s="120">
        <v>113193</v>
      </c>
      <c r="B25" s="121">
        <v>3193</v>
      </c>
      <c r="C25" s="121">
        <v>1030</v>
      </c>
      <c r="D25" s="122" t="s">
        <v>389</v>
      </c>
      <c r="E25" s="164"/>
      <c r="F25" s="164">
        <v>245717.76000000001</v>
      </c>
      <c r="G25" s="164">
        <v>191657.76</v>
      </c>
      <c r="H25" s="164"/>
      <c r="I25" s="8">
        <f t="shared" si="3"/>
        <v>245717.76000000001</v>
      </c>
      <c r="J25" s="164"/>
      <c r="K25" s="164"/>
      <c r="L25" s="165"/>
      <c r="M25" s="164"/>
      <c r="N25" s="164"/>
      <c r="O25" s="8"/>
      <c r="P25" s="8">
        <f t="shared" si="2"/>
        <v>245717.76000000001</v>
      </c>
      <c r="T25" s="35"/>
    </row>
    <row r="26" spans="1:20" ht="22.5" x14ac:dyDescent="0.25">
      <c r="A26" s="11" t="s">
        <v>29</v>
      </c>
      <c r="B26" s="11">
        <v>3242</v>
      </c>
      <c r="C26" s="11" t="s">
        <v>185</v>
      </c>
      <c r="D26" s="163" t="s">
        <v>12</v>
      </c>
      <c r="E26" s="164">
        <f>500000+8779000+72000</f>
        <v>9351000</v>
      </c>
      <c r="F26" s="164">
        <f>2833000</f>
        <v>2833000</v>
      </c>
      <c r="G26" s="164"/>
      <c r="H26" s="164"/>
      <c r="I26" s="8">
        <f t="shared" si="3"/>
        <v>12184000</v>
      </c>
      <c r="J26" s="164"/>
      <c r="K26" s="164"/>
      <c r="L26" s="165"/>
      <c r="M26" s="164"/>
      <c r="N26" s="164"/>
      <c r="O26" s="8">
        <f t="shared" si="1"/>
        <v>0</v>
      </c>
      <c r="P26" s="8">
        <f t="shared" si="2"/>
        <v>12184000</v>
      </c>
    </row>
    <row r="27" spans="1:20" ht="22.5" x14ac:dyDescent="0.25">
      <c r="A27" s="11" t="s">
        <v>251</v>
      </c>
      <c r="B27" s="11" t="s">
        <v>254</v>
      </c>
      <c r="C27" s="11" t="s">
        <v>255</v>
      </c>
      <c r="D27" s="163" t="s">
        <v>253</v>
      </c>
      <c r="E27" s="164">
        <v>100000</v>
      </c>
      <c r="F27" s="164">
        <v>104000</v>
      </c>
      <c r="G27" s="164"/>
      <c r="H27" s="164"/>
      <c r="I27" s="8">
        <f t="shared" si="3"/>
        <v>204000</v>
      </c>
      <c r="J27" s="164">
        <v>600000</v>
      </c>
      <c r="K27" s="164"/>
      <c r="L27" s="165"/>
      <c r="M27" s="164"/>
      <c r="N27" s="164"/>
      <c r="O27" s="8">
        <f t="shared" si="1"/>
        <v>600000</v>
      </c>
      <c r="P27" s="8">
        <f t="shared" si="2"/>
        <v>804000</v>
      </c>
    </row>
    <row r="28" spans="1:20" ht="22.5" x14ac:dyDescent="0.25">
      <c r="A28" s="11" t="s">
        <v>30</v>
      </c>
      <c r="B28" s="11">
        <v>7370</v>
      </c>
      <c r="C28" s="11" t="s">
        <v>186</v>
      </c>
      <c r="D28" s="163" t="s">
        <v>15</v>
      </c>
      <c r="E28" s="164">
        <v>28373124</v>
      </c>
      <c r="F28" s="164">
        <f>-400000-3747000-30000-250000-300000-4452050-500000-3302000-200000</f>
        <v>-13181050</v>
      </c>
      <c r="G28" s="164"/>
      <c r="H28" s="164">
        <f>92200</f>
        <v>92200</v>
      </c>
      <c r="I28" s="8">
        <f t="shared" si="3"/>
        <v>15192074</v>
      </c>
      <c r="J28" s="164">
        <v>14108600</v>
      </c>
      <c r="K28" s="164">
        <f>-600000+300000+260000+250000</f>
        <v>210000</v>
      </c>
      <c r="L28" s="165"/>
      <c r="M28" s="164">
        <f>-600000+300000+260000+250000</f>
        <v>210000</v>
      </c>
      <c r="N28" s="164">
        <f>-600000+300000+260000+250000</f>
        <v>210000</v>
      </c>
      <c r="O28" s="8">
        <f t="shared" si="1"/>
        <v>14318600</v>
      </c>
      <c r="P28" s="8">
        <f t="shared" si="2"/>
        <v>29510674</v>
      </c>
    </row>
    <row r="29" spans="1:20" x14ac:dyDescent="0.25">
      <c r="A29" s="11" t="s">
        <v>252</v>
      </c>
      <c r="B29" s="11" t="s">
        <v>258</v>
      </c>
      <c r="C29" s="11" t="s">
        <v>257</v>
      </c>
      <c r="D29" s="163" t="s">
        <v>256</v>
      </c>
      <c r="E29" s="164">
        <v>465000</v>
      </c>
      <c r="F29" s="164">
        <f>-97000-332000+200000</f>
        <v>-229000</v>
      </c>
      <c r="G29" s="164"/>
      <c r="H29" s="164"/>
      <c r="I29" s="8">
        <f t="shared" si="3"/>
        <v>236000</v>
      </c>
      <c r="J29" s="164">
        <v>1780000</v>
      </c>
      <c r="K29" s="164">
        <v>-1200000</v>
      </c>
      <c r="L29" s="165"/>
      <c r="M29" s="164">
        <v>-1200000</v>
      </c>
      <c r="N29" s="164">
        <v>-1200000</v>
      </c>
      <c r="O29" s="8">
        <f t="shared" si="1"/>
        <v>580000</v>
      </c>
      <c r="P29" s="8">
        <f t="shared" si="2"/>
        <v>816000</v>
      </c>
    </row>
    <row r="30" spans="1:20" ht="22.5" x14ac:dyDescent="0.25">
      <c r="A30" s="11" t="s">
        <v>187</v>
      </c>
      <c r="B30" s="11">
        <v>7693</v>
      </c>
      <c r="C30" s="11" t="s">
        <v>186</v>
      </c>
      <c r="D30" s="166" t="s">
        <v>188</v>
      </c>
      <c r="E30" s="164">
        <v>1181772</v>
      </c>
      <c r="F30" s="164">
        <v>-103027.95</v>
      </c>
      <c r="G30" s="164"/>
      <c r="H30" s="164"/>
      <c r="I30" s="8">
        <f t="shared" si="3"/>
        <v>1078744.05</v>
      </c>
      <c r="J30" s="164"/>
      <c r="K30" s="164"/>
      <c r="L30" s="165"/>
      <c r="M30" s="164"/>
      <c r="N30" s="164"/>
      <c r="O30" s="8">
        <f t="shared" si="1"/>
        <v>0</v>
      </c>
      <c r="P30" s="8">
        <f t="shared" si="2"/>
        <v>1078744.05</v>
      </c>
    </row>
    <row r="31" spans="1:20" ht="33.75" x14ac:dyDescent="0.25">
      <c r="A31" s="11" t="s">
        <v>462</v>
      </c>
      <c r="B31" s="11" t="s">
        <v>460</v>
      </c>
      <c r="C31" s="11" t="s">
        <v>461</v>
      </c>
      <c r="D31" s="166" t="s">
        <v>449</v>
      </c>
      <c r="E31" s="164"/>
      <c r="F31" s="164">
        <v>300000</v>
      </c>
      <c r="G31" s="164"/>
      <c r="H31" s="164">
        <v>15000</v>
      </c>
      <c r="I31" s="8">
        <f t="shared" si="3"/>
        <v>300000</v>
      </c>
      <c r="J31" s="164"/>
      <c r="K31" s="164"/>
      <c r="L31" s="165"/>
      <c r="M31" s="164"/>
      <c r="N31" s="164"/>
      <c r="O31" s="8">
        <f t="shared" si="1"/>
        <v>0</v>
      </c>
      <c r="P31" s="8">
        <f t="shared" si="2"/>
        <v>300000</v>
      </c>
    </row>
    <row r="32" spans="1:20" ht="33.75" x14ac:dyDescent="0.25">
      <c r="A32" s="120">
        <v>119800</v>
      </c>
      <c r="B32" s="121">
        <v>9800</v>
      </c>
      <c r="C32" s="145">
        <v>180</v>
      </c>
      <c r="D32" s="122" t="s">
        <v>451</v>
      </c>
      <c r="E32" s="164"/>
      <c r="F32" s="164">
        <f>500000+100000+250000+400000+500000</f>
        <v>1750000</v>
      </c>
      <c r="G32" s="164"/>
      <c r="H32" s="164"/>
      <c r="I32" s="8">
        <f t="shared" si="3"/>
        <v>1750000</v>
      </c>
      <c r="J32" s="164"/>
      <c r="K32" s="164">
        <f>150000+5000000+600000+500000-200000</f>
        <v>6050000</v>
      </c>
      <c r="L32" s="165"/>
      <c r="M32" s="164">
        <f>150000+5000000+600000+500000-200000</f>
        <v>6050000</v>
      </c>
      <c r="N32" s="164">
        <f>150000+5000000+600000+500000-200000</f>
        <v>6050000</v>
      </c>
      <c r="O32" s="8">
        <f t="shared" si="1"/>
        <v>6050000</v>
      </c>
      <c r="P32" s="8">
        <f t="shared" si="2"/>
        <v>7800000</v>
      </c>
    </row>
    <row r="33" spans="1:19" x14ac:dyDescent="0.25">
      <c r="A33" s="160" t="s">
        <v>189</v>
      </c>
      <c r="B33" s="161"/>
      <c r="C33" s="161"/>
      <c r="D33" s="162" t="s">
        <v>21</v>
      </c>
      <c r="E33" s="167">
        <f>SUM(E34:E48)</f>
        <v>328849785</v>
      </c>
      <c r="F33" s="167">
        <f>SUM(F34:F48)</f>
        <v>10088877</v>
      </c>
      <c r="G33" s="167">
        <f t="shared" ref="G33:O33" si="4">SUM(G34:G48)</f>
        <v>3620719</v>
      </c>
      <c r="H33" s="167">
        <f t="shared" si="4"/>
        <v>4771981</v>
      </c>
      <c r="I33" s="167">
        <f t="shared" si="4"/>
        <v>338938662</v>
      </c>
      <c r="J33" s="167">
        <f t="shared" si="4"/>
        <v>16558400</v>
      </c>
      <c r="K33" s="167">
        <f t="shared" si="4"/>
        <v>9695280</v>
      </c>
      <c r="L33" s="167">
        <f t="shared" si="4"/>
        <v>0</v>
      </c>
      <c r="M33" s="167">
        <f t="shared" si="4"/>
        <v>9695280</v>
      </c>
      <c r="N33" s="167">
        <f t="shared" si="4"/>
        <v>9695280</v>
      </c>
      <c r="O33" s="167">
        <f t="shared" si="4"/>
        <v>26253680</v>
      </c>
      <c r="P33" s="8">
        <f t="shared" si="2"/>
        <v>365192342</v>
      </c>
    </row>
    <row r="34" spans="1:19" ht="33.75" x14ac:dyDescent="0.25">
      <c r="A34" s="11" t="s">
        <v>190</v>
      </c>
      <c r="B34" s="11" t="s">
        <v>191</v>
      </c>
      <c r="C34" s="11" t="s">
        <v>156</v>
      </c>
      <c r="D34" s="163" t="s">
        <v>192</v>
      </c>
      <c r="E34" s="164">
        <v>3396133</v>
      </c>
      <c r="F34" s="164">
        <f>8258</f>
        <v>8258</v>
      </c>
      <c r="G34" s="164"/>
      <c r="H34" s="164">
        <f>8258</f>
        <v>8258</v>
      </c>
      <c r="I34" s="8">
        <f t="shared" si="3"/>
        <v>3404391</v>
      </c>
      <c r="J34" s="164"/>
      <c r="K34" s="164"/>
      <c r="L34" s="165"/>
      <c r="M34" s="164"/>
      <c r="N34" s="164"/>
      <c r="O34" s="8">
        <f t="shared" si="1"/>
        <v>0</v>
      </c>
      <c r="P34" s="8">
        <f t="shared" si="2"/>
        <v>3404391</v>
      </c>
    </row>
    <row r="35" spans="1:19" x14ac:dyDescent="0.25">
      <c r="A35" s="11" t="s">
        <v>193</v>
      </c>
      <c r="B35" s="11">
        <v>1010</v>
      </c>
      <c r="C35" s="11" t="s">
        <v>194</v>
      </c>
      <c r="D35" s="163" t="s">
        <v>195</v>
      </c>
      <c r="E35" s="164">
        <f>64642747</f>
        <v>64642747</v>
      </c>
      <c r="F35" s="164">
        <f>1393714+450000+120000</f>
        <v>1963714</v>
      </c>
      <c r="G35" s="164">
        <f>1142388</f>
        <v>1142388</v>
      </c>
      <c r="H35" s="164"/>
      <c r="I35" s="8">
        <f t="shared" si="3"/>
        <v>66606461</v>
      </c>
      <c r="J35" s="165">
        <f>120000+3043000</f>
        <v>3163000</v>
      </c>
      <c r="K35" s="164">
        <f>500000+30000</f>
        <v>530000</v>
      </c>
      <c r="L35" s="165"/>
      <c r="M35" s="164">
        <f>500000+30000</f>
        <v>530000</v>
      </c>
      <c r="N35" s="164">
        <f>500000+30000</f>
        <v>530000</v>
      </c>
      <c r="O35" s="8">
        <f t="shared" si="1"/>
        <v>3693000</v>
      </c>
      <c r="P35" s="8">
        <f t="shared" si="2"/>
        <v>70299461</v>
      </c>
    </row>
    <row r="36" spans="1:19" ht="33.75" x14ac:dyDescent="0.25">
      <c r="A36" s="11" t="s">
        <v>196</v>
      </c>
      <c r="B36" s="11">
        <v>1021</v>
      </c>
      <c r="C36" s="11" t="s">
        <v>197</v>
      </c>
      <c r="D36" s="163" t="s">
        <v>234</v>
      </c>
      <c r="E36" s="168">
        <v>104790752</v>
      </c>
      <c r="F36" s="168">
        <f>48000+4509140+2661562+100000+90000+20000</f>
        <v>7428702</v>
      </c>
      <c r="G36" s="164">
        <f>2241757</f>
        <v>2241757</v>
      </c>
      <c r="H36" s="164">
        <f>4509140</f>
        <v>4509140</v>
      </c>
      <c r="I36" s="8">
        <f t="shared" si="3"/>
        <v>112219454</v>
      </c>
      <c r="J36" s="165">
        <f>3150000+2280100</f>
        <v>5430100</v>
      </c>
      <c r="K36" s="165">
        <f>1450000+2000000+150000+185000</f>
        <v>3785000</v>
      </c>
      <c r="L36" s="165"/>
      <c r="M36" s="165">
        <f>1450000+2000000+150000+185000</f>
        <v>3785000</v>
      </c>
      <c r="N36" s="165">
        <f>1450000+2000000+150000+185000</f>
        <v>3785000</v>
      </c>
      <c r="O36" s="8">
        <f t="shared" si="1"/>
        <v>9215100</v>
      </c>
      <c r="P36" s="8">
        <f t="shared" si="2"/>
        <v>121434554</v>
      </c>
    </row>
    <row r="37" spans="1:19" ht="33.75" x14ac:dyDescent="0.25">
      <c r="A37" s="11" t="s">
        <v>198</v>
      </c>
      <c r="B37" s="11" t="s">
        <v>199</v>
      </c>
      <c r="C37" s="169">
        <v>921</v>
      </c>
      <c r="D37" s="166" t="s">
        <v>200</v>
      </c>
      <c r="E37" s="168">
        <v>6194295</v>
      </c>
      <c r="F37" s="168">
        <f>159572+161772</f>
        <v>321344</v>
      </c>
      <c r="G37" s="164">
        <f>132600</f>
        <v>132600</v>
      </c>
      <c r="H37" s="164">
        <v>159572</v>
      </c>
      <c r="I37" s="8">
        <f t="shared" si="3"/>
        <v>6515639</v>
      </c>
      <c r="J37" s="164">
        <f>100000+140300</f>
        <v>240300</v>
      </c>
      <c r="K37" s="164"/>
      <c r="L37" s="165"/>
      <c r="M37" s="164"/>
      <c r="N37" s="164"/>
      <c r="O37" s="8">
        <f t="shared" si="1"/>
        <v>240300</v>
      </c>
      <c r="P37" s="8">
        <f t="shared" si="2"/>
        <v>6755939</v>
      </c>
    </row>
    <row r="38" spans="1:19" ht="33.75" x14ac:dyDescent="0.25">
      <c r="A38" s="11" t="s">
        <v>201</v>
      </c>
      <c r="B38" s="170">
        <v>1031</v>
      </c>
      <c r="C38" s="170">
        <v>921</v>
      </c>
      <c r="D38" s="163" t="s">
        <v>366</v>
      </c>
      <c r="E38" s="168">
        <v>129546700</v>
      </c>
      <c r="F38" s="168"/>
      <c r="G38" s="164"/>
      <c r="H38" s="164"/>
      <c r="I38" s="8">
        <f t="shared" si="3"/>
        <v>129546700</v>
      </c>
      <c r="J38" s="164"/>
      <c r="K38" s="164"/>
      <c r="L38" s="165"/>
      <c r="M38" s="164"/>
      <c r="N38" s="164"/>
      <c r="O38" s="8">
        <f t="shared" si="1"/>
        <v>0</v>
      </c>
      <c r="P38" s="8">
        <f t="shared" si="2"/>
        <v>129546700</v>
      </c>
    </row>
    <row r="39" spans="1:19" ht="33.75" x14ac:dyDescent="0.25">
      <c r="A39" s="24" t="s">
        <v>202</v>
      </c>
      <c r="B39" s="24">
        <v>1070</v>
      </c>
      <c r="C39" s="24" t="s">
        <v>203</v>
      </c>
      <c r="D39" s="163" t="s">
        <v>204</v>
      </c>
      <c r="E39" s="168">
        <v>4950207</v>
      </c>
      <c r="F39" s="168">
        <f>79280+126848+20000</f>
        <v>226128</v>
      </c>
      <c r="G39" s="164">
        <f>103974</f>
        <v>103974</v>
      </c>
      <c r="H39" s="164">
        <v>79280</v>
      </c>
      <c r="I39" s="8">
        <f t="shared" si="3"/>
        <v>5176335</v>
      </c>
      <c r="J39" s="164"/>
      <c r="K39" s="164"/>
      <c r="L39" s="165"/>
      <c r="M39" s="164"/>
      <c r="N39" s="164"/>
      <c r="O39" s="8">
        <f t="shared" si="1"/>
        <v>0</v>
      </c>
      <c r="P39" s="8">
        <f t="shared" si="2"/>
        <v>5176335</v>
      </c>
      <c r="S39" s="35"/>
    </row>
    <row r="40" spans="1:19" ht="22.5" x14ac:dyDescent="0.25">
      <c r="A40" s="24" t="s">
        <v>205</v>
      </c>
      <c r="B40" s="24">
        <v>1141</v>
      </c>
      <c r="C40" s="24" t="s">
        <v>163</v>
      </c>
      <c r="D40" s="163" t="s">
        <v>206</v>
      </c>
      <c r="E40" s="164">
        <v>4018851</v>
      </c>
      <c r="F40" s="164">
        <f>15731</f>
        <v>15731</v>
      </c>
      <c r="G40" s="164"/>
      <c r="H40" s="164">
        <v>15731</v>
      </c>
      <c r="I40" s="8">
        <f t="shared" si="3"/>
        <v>4034582</v>
      </c>
      <c r="J40" s="165"/>
      <c r="K40" s="164"/>
      <c r="L40" s="165"/>
      <c r="M40" s="164"/>
      <c r="N40" s="164"/>
      <c r="O40" s="8">
        <f t="shared" si="1"/>
        <v>0</v>
      </c>
      <c r="P40" s="8">
        <f t="shared" si="2"/>
        <v>4034582</v>
      </c>
    </row>
    <row r="41" spans="1:19" x14ac:dyDescent="0.25">
      <c r="A41" s="24" t="s">
        <v>207</v>
      </c>
      <c r="B41" s="24">
        <v>1142</v>
      </c>
      <c r="C41" s="24" t="s">
        <v>163</v>
      </c>
      <c r="D41" s="163" t="s">
        <v>208</v>
      </c>
      <c r="E41" s="164">
        <v>966000</v>
      </c>
      <c r="F41" s="164">
        <f>125000</f>
        <v>125000</v>
      </c>
      <c r="G41" s="164"/>
      <c r="H41" s="164"/>
      <c r="I41" s="8">
        <f t="shared" si="3"/>
        <v>1091000</v>
      </c>
      <c r="J41" s="164"/>
      <c r="K41" s="164"/>
      <c r="L41" s="165"/>
      <c r="M41" s="164"/>
      <c r="N41" s="164"/>
      <c r="O41" s="8">
        <f t="shared" si="1"/>
        <v>0</v>
      </c>
      <c r="P41" s="8">
        <f t="shared" si="2"/>
        <v>1091000</v>
      </c>
    </row>
    <row r="42" spans="1:19" ht="67.5" x14ac:dyDescent="0.25">
      <c r="A42" s="24" t="s">
        <v>468</v>
      </c>
      <c r="B42" s="24" t="s">
        <v>466</v>
      </c>
      <c r="C42" s="24" t="s">
        <v>163</v>
      </c>
      <c r="D42" s="163" t="s">
        <v>467</v>
      </c>
      <c r="E42" s="164"/>
      <c r="F42" s="164"/>
      <c r="G42" s="164"/>
      <c r="H42" s="164"/>
      <c r="I42" s="8">
        <f t="shared" si="3"/>
        <v>0</v>
      </c>
      <c r="J42" s="164"/>
      <c r="K42" s="164">
        <f>490280</f>
        <v>490280</v>
      </c>
      <c r="L42" s="165"/>
      <c r="M42" s="164">
        <f>490280</f>
        <v>490280</v>
      </c>
      <c r="N42" s="164">
        <f>490280</f>
        <v>490280</v>
      </c>
      <c r="O42" s="8">
        <f t="shared" si="1"/>
        <v>490280</v>
      </c>
      <c r="P42" s="8">
        <f t="shared" si="2"/>
        <v>490280</v>
      </c>
    </row>
    <row r="43" spans="1:19" ht="67.5" x14ac:dyDescent="0.25">
      <c r="A43" s="24" t="s">
        <v>352</v>
      </c>
      <c r="B43" s="24" t="s">
        <v>353</v>
      </c>
      <c r="C43" s="24" t="s">
        <v>163</v>
      </c>
      <c r="D43" s="163" t="s">
        <v>354</v>
      </c>
      <c r="E43" s="164"/>
      <c r="F43" s="164"/>
      <c r="G43" s="164"/>
      <c r="H43" s="164"/>
      <c r="I43" s="8">
        <f t="shared" si="3"/>
        <v>0</v>
      </c>
      <c r="J43" s="164">
        <v>2451400</v>
      </c>
      <c r="K43" s="164"/>
      <c r="L43" s="165"/>
      <c r="M43" s="164"/>
      <c r="N43" s="164"/>
      <c r="O43" s="8">
        <f t="shared" si="1"/>
        <v>2451400</v>
      </c>
      <c r="P43" s="8">
        <f t="shared" si="2"/>
        <v>2451400</v>
      </c>
    </row>
    <row r="44" spans="1:19" ht="67.5" x14ac:dyDescent="0.25">
      <c r="A44" s="24" t="s">
        <v>349</v>
      </c>
      <c r="B44" s="24" t="s">
        <v>350</v>
      </c>
      <c r="C44" s="24" t="s">
        <v>163</v>
      </c>
      <c r="D44" s="163" t="s">
        <v>351</v>
      </c>
      <c r="E44" s="164">
        <v>839300</v>
      </c>
      <c r="F44" s="164"/>
      <c r="G44" s="164"/>
      <c r="H44" s="164"/>
      <c r="I44" s="8">
        <f t="shared" si="3"/>
        <v>839300</v>
      </c>
      <c r="J44" s="164"/>
      <c r="K44" s="164"/>
      <c r="L44" s="165"/>
      <c r="M44" s="164"/>
      <c r="N44" s="164"/>
      <c r="O44" s="8">
        <f t="shared" si="1"/>
        <v>0</v>
      </c>
      <c r="P44" s="8">
        <f t="shared" si="2"/>
        <v>839300</v>
      </c>
    </row>
    <row r="45" spans="1:19" ht="45" x14ac:dyDescent="0.25">
      <c r="A45" s="120">
        <v>611403</v>
      </c>
      <c r="B45" s="121">
        <v>1403</v>
      </c>
      <c r="C45" s="145"/>
      <c r="D45" s="171" t="s">
        <v>365</v>
      </c>
      <c r="E45" s="164"/>
      <c r="F45" s="164"/>
      <c r="G45" s="164"/>
      <c r="H45" s="164"/>
      <c r="I45" s="8">
        <f t="shared" si="3"/>
        <v>0</v>
      </c>
      <c r="J45" s="164">
        <v>5273600</v>
      </c>
      <c r="K45" s="164"/>
      <c r="L45" s="165"/>
      <c r="M45" s="164"/>
      <c r="N45" s="164"/>
      <c r="O45" s="8">
        <f t="shared" si="1"/>
        <v>5273600</v>
      </c>
      <c r="P45" s="8">
        <f t="shared" si="2"/>
        <v>5273600</v>
      </c>
    </row>
    <row r="46" spans="1:19" ht="45" x14ac:dyDescent="0.25">
      <c r="A46" s="24" t="s">
        <v>356</v>
      </c>
      <c r="B46" s="24" t="s">
        <v>357</v>
      </c>
      <c r="C46" s="24" t="s">
        <v>163</v>
      </c>
      <c r="D46" s="163" t="s">
        <v>355</v>
      </c>
      <c r="E46" s="164">
        <v>9504800</v>
      </c>
      <c r="F46" s="164"/>
      <c r="G46" s="164"/>
      <c r="H46" s="164"/>
      <c r="I46" s="8">
        <f t="shared" si="3"/>
        <v>9504800</v>
      </c>
      <c r="J46" s="164"/>
      <c r="K46" s="164"/>
      <c r="L46" s="165"/>
      <c r="M46" s="164"/>
      <c r="N46" s="164"/>
      <c r="O46" s="8">
        <f t="shared" si="1"/>
        <v>0</v>
      </c>
      <c r="P46" s="8">
        <f t="shared" si="2"/>
        <v>9504800</v>
      </c>
    </row>
    <row r="47" spans="1:19" x14ac:dyDescent="0.25">
      <c r="A47" s="11" t="s">
        <v>527</v>
      </c>
      <c r="B47" s="11" t="s">
        <v>258</v>
      </c>
      <c r="C47" s="11" t="s">
        <v>257</v>
      </c>
      <c r="D47" s="163" t="s">
        <v>256</v>
      </c>
      <c r="E47" s="164"/>
      <c r="F47" s="164"/>
      <c r="G47" s="164"/>
      <c r="H47" s="164"/>
      <c r="I47" s="8">
        <f t="shared" ref="I47" si="5">SUM(E47:F47)</f>
        <v>0</v>
      </c>
      <c r="J47" s="164"/>
      <c r="K47" s="164">
        <v>1200000</v>
      </c>
      <c r="L47" s="165"/>
      <c r="M47" s="164">
        <v>1200000</v>
      </c>
      <c r="N47" s="164">
        <v>1200000</v>
      </c>
      <c r="O47" s="8">
        <f t="shared" ref="O47" si="6">SUM(J47+K47)</f>
        <v>1200000</v>
      </c>
      <c r="P47" s="8">
        <f t="shared" ref="P47" si="7">SUM(I47+O47)</f>
        <v>1200000</v>
      </c>
    </row>
    <row r="48" spans="1:19" x14ac:dyDescent="0.25">
      <c r="A48" s="147" t="s">
        <v>464</v>
      </c>
      <c r="B48" s="121">
        <v>9770</v>
      </c>
      <c r="C48" s="145">
        <v>180</v>
      </c>
      <c r="D48" s="122" t="s">
        <v>452</v>
      </c>
      <c r="E48" s="164"/>
      <c r="F48" s="164"/>
      <c r="G48" s="164"/>
      <c r="H48" s="164"/>
      <c r="I48" s="8">
        <f t="shared" si="3"/>
        <v>0</v>
      </c>
      <c r="J48" s="164"/>
      <c r="K48" s="164">
        <f>700000+1450000+1540000</f>
        <v>3690000</v>
      </c>
      <c r="L48" s="165"/>
      <c r="M48" s="164">
        <f>700000+1450000+1540000</f>
        <v>3690000</v>
      </c>
      <c r="N48" s="164">
        <f>700000+1450000+1540000</f>
        <v>3690000</v>
      </c>
      <c r="O48" s="8">
        <f t="shared" si="1"/>
        <v>3690000</v>
      </c>
      <c r="P48" s="8">
        <f t="shared" si="2"/>
        <v>3690000</v>
      </c>
    </row>
    <row r="49" spans="1:16" x14ac:dyDescent="0.25">
      <c r="A49" s="172" t="s">
        <v>209</v>
      </c>
      <c r="B49" s="173"/>
      <c r="C49" s="173"/>
      <c r="D49" s="162" t="s">
        <v>22</v>
      </c>
      <c r="E49" s="167">
        <f t="shared" ref="E49:N49" si="8">SUM(E50:E52)</f>
        <v>3050491</v>
      </c>
      <c r="F49" s="167">
        <f t="shared" si="8"/>
        <v>0</v>
      </c>
      <c r="G49" s="167">
        <f t="shared" si="8"/>
        <v>0</v>
      </c>
      <c r="H49" s="167">
        <f t="shared" si="8"/>
        <v>0</v>
      </c>
      <c r="I49" s="8">
        <f t="shared" si="3"/>
        <v>3050491</v>
      </c>
      <c r="J49" s="167">
        <f t="shared" si="8"/>
        <v>27000</v>
      </c>
      <c r="K49" s="167">
        <f t="shared" si="8"/>
        <v>0</v>
      </c>
      <c r="L49" s="167">
        <f t="shared" si="8"/>
        <v>0</v>
      </c>
      <c r="M49" s="167">
        <f t="shared" si="8"/>
        <v>0</v>
      </c>
      <c r="N49" s="167">
        <f t="shared" si="8"/>
        <v>0</v>
      </c>
      <c r="O49" s="8">
        <f t="shared" si="1"/>
        <v>27000</v>
      </c>
      <c r="P49" s="8">
        <f t="shared" si="2"/>
        <v>3077491</v>
      </c>
    </row>
    <row r="50" spans="1:16" ht="33.75" x14ac:dyDescent="0.25">
      <c r="A50" s="24" t="s">
        <v>210</v>
      </c>
      <c r="B50" s="24" t="s">
        <v>191</v>
      </c>
      <c r="C50" s="24" t="s">
        <v>156</v>
      </c>
      <c r="D50" s="163" t="s">
        <v>192</v>
      </c>
      <c r="E50" s="164">
        <v>1509071</v>
      </c>
      <c r="F50" s="164"/>
      <c r="G50" s="164"/>
      <c r="H50" s="164"/>
      <c r="I50" s="8">
        <f t="shared" si="3"/>
        <v>1509071</v>
      </c>
      <c r="J50" s="164">
        <v>27000</v>
      </c>
      <c r="K50" s="164"/>
      <c r="L50" s="165"/>
      <c r="M50" s="164"/>
      <c r="N50" s="164"/>
      <c r="O50" s="8">
        <f t="shared" si="1"/>
        <v>27000</v>
      </c>
      <c r="P50" s="8">
        <f t="shared" si="2"/>
        <v>1536071</v>
      </c>
    </row>
    <row r="51" spans="1:16" ht="22.5" x14ac:dyDescent="0.25">
      <c r="A51" s="174" t="s">
        <v>211</v>
      </c>
      <c r="B51" s="174">
        <v>3112</v>
      </c>
      <c r="C51" s="174">
        <v>1040</v>
      </c>
      <c r="D51" s="175" t="s">
        <v>31</v>
      </c>
      <c r="E51" s="164">
        <f>93000+504580</f>
        <v>597580</v>
      </c>
      <c r="F51" s="164"/>
      <c r="G51" s="164"/>
      <c r="H51" s="164"/>
      <c r="I51" s="8">
        <f t="shared" si="3"/>
        <v>597580</v>
      </c>
      <c r="J51" s="164"/>
      <c r="K51" s="164"/>
      <c r="L51" s="165"/>
      <c r="M51" s="164"/>
      <c r="N51" s="164"/>
      <c r="O51" s="8">
        <f t="shared" si="1"/>
        <v>0</v>
      </c>
      <c r="P51" s="8">
        <f t="shared" si="2"/>
        <v>597580</v>
      </c>
    </row>
    <row r="52" spans="1:16" ht="56.25" x14ac:dyDescent="0.25">
      <c r="A52" s="24" t="s">
        <v>212</v>
      </c>
      <c r="B52" s="24">
        <v>3133</v>
      </c>
      <c r="C52" s="24">
        <v>1040</v>
      </c>
      <c r="D52" s="163" t="s">
        <v>392</v>
      </c>
      <c r="E52" s="164">
        <v>943840</v>
      </c>
      <c r="F52" s="164"/>
      <c r="G52" s="164"/>
      <c r="H52" s="164"/>
      <c r="I52" s="8">
        <f t="shared" si="3"/>
        <v>943840</v>
      </c>
      <c r="J52" s="164"/>
      <c r="K52" s="164"/>
      <c r="L52" s="165"/>
      <c r="M52" s="164"/>
      <c r="N52" s="164"/>
      <c r="O52" s="8">
        <f t="shared" si="1"/>
        <v>0</v>
      </c>
      <c r="P52" s="8">
        <f t="shared" si="2"/>
        <v>943840</v>
      </c>
    </row>
    <row r="53" spans="1:16" x14ac:dyDescent="0.25">
      <c r="A53" s="172">
        <v>10</v>
      </c>
      <c r="B53" s="173"/>
      <c r="C53" s="173"/>
      <c r="D53" s="162" t="s">
        <v>23</v>
      </c>
      <c r="E53" s="167">
        <f t="shared" ref="E53:N53" si="9">SUM(E54:E62)</f>
        <v>47909155</v>
      </c>
      <c r="F53" s="167">
        <f>SUM(F54:F62)</f>
        <v>2359491</v>
      </c>
      <c r="G53" s="167">
        <f t="shared" ref="G53:H53" si="10">SUM(G54:G62)</f>
        <v>912200</v>
      </c>
      <c r="H53" s="167">
        <f t="shared" si="10"/>
        <v>561627</v>
      </c>
      <c r="I53" s="8">
        <f t="shared" si="3"/>
        <v>50268646</v>
      </c>
      <c r="J53" s="167">
        <f t="shared" si="9"/>
        <v>2896040</v>
      </c>
      <c r="K53" s="167">
        <f>SUM(K54:K62)</f>
        <v>338000</v>
      </c>
      <c r="L53" s="167">
        <f t="shared" si="9"/>
        <v>0</v>
      </c>
      <c r="M53" s="167">
        <f t="shared" si="9"/>
        <v>338000</v>
      </c>
      <c r="N53" s="167">
        <f t="shared" si="9"/>
        <v>338000</v>
      </c>
      <c r="O53" s="8">
        <f t="shared" si="1"/>
        <v>3234040</v>
      </c>
      <c r="P53" s="8">
        <f t="shared" si="2"/>
        <v>53502686</v>
      </c>
    </row>
    <row r="54" spans="1:16" ht="33.75" x14ac:dyDescent="0.25">
      <c r="A54" s="24">
        <v>1010160</v>
      </c>
      <c r="B54" s="24" t="s">
        <v>191</v>
      </c>
      <c r="C54" s="24" t="s">
        <v>156</v>
      </c>
      <c r="D54" s="163" t="s">
        <v>192</v>
      </c>
      <c r="E54" s="164">
        <v>1758613</v>
      </c>
      <c r="F54" s="164"/>
      <c r="G54" s="164"/>
      <c r="H54" s="164"/>
      <c r="I54" s="8">
        <f t="shared" si="3"/>
        <v>1758613</v>
      </c>
      <c r="J54" s="164"/>
      <c r="K54" s="164"/>
      <c r="L54" s="165"/>
      <c r="M54" s="164"/>
      <c r="N54" s="164"/>
      <c r="O54" s="8">
        <f t="shared" si="1"/>
        <v>0</v>
      </c>
      <c r="P54" s="8">
        <f t="shared" si="2"/>
        <v>1758613</v>
      </c>
    </row>
    <row r="55" spans="1:16" ht="22.5" x14ac:dyDescent="0.25">
      <c r="A55" s="24">
        <v>1011080</v>
      </c>
      <c r="B55" s="24">
        <v>1080</v>
      </c>
      <c r="C55" s="24" t="s">
        <v>203</v>
      </c>
      <c r="D55" s="163" t="s">
        <v>213</v>
      </c>
      <c r="E55" s="164">
        <v>17595373</v>
      </c>
      <c r="F55" s="164">
        <f>116560+52268+456768+57096+30000</f>
        <v>712692</v>
      </c>
      <c r="G55" s="164">
        <f>374400+46800</f>
        <v>421200</v>
      </c>
      <c r="H55" s="164">
        <f>116560+52268</f>
        <v>168828</v>
      </c>
      <c r="I55" s="8">
        <f t="shared" si="3"/>
        <v>18308065</v>
      </c>
      <c r="J55" s="164">
        <f>330000+1276040</f>
        <v>1606040</v>
      </c>
      <c r="K55" s="164"/>
      <c r="L55" s="164"/>
      <c r="M55" s="164"/>
      <c r="N55" s="164"/>
      <c r="O55" s="8">
        <f t="shared" si="1"/>
        <v>1606040</v>
      </c>
      <c r="P55" s="8">
        <f t="shared" si="2"/>
        <v>19914105</v>
      </c>
    </row>
    <row r="56" spans="1:16" x14ac:dyDescent="0.25">
      <c r="A56" s="24" t="s">
        <v>517</v>
      </c>
      <c r="B56" s="24">
        <v>4030</v>
      </c>
      <c r="C56" s="24" t="s">
        <v>214</v>
      </c>
      <c r="D56" s="163" t="s">
        <v>215</v>
      </c>
      <c r="E56" s="164">
        <v>10384590</v>
      </c>
      <c r="F56" s="164">
        <f>177484+10000+72000</f>
        <v>259484</v>
      </c>
      <c r="G56" s="164"/>
      <c r="H56" s="164">
        <v>177484</v>
      </c>
      <c r="I56" s="8">
        <f t="shared" si="3"/>
        <v>10644074</v>
      </c>
      <c r="J56" s="165">
        <f>330000+30000</f>
        <v>360000</v>
      </c>
      <c r="K56" s="165">
        <f>110000+48000</f>
        <v>158000</v>
      </c>
      <c r="L56" s="165"/>
      <c r="M56" s="165">
        <f>110000+48000</f>
        <v>158000</v>
      </c>
      <c r="N56" s="165">
        <f>110000+48000</f>
        <v>158000</v>
      </c>
      <c r="O56" s="8">
        <f t="shared" si="1"/>
        <v>518000</v>
      </c>
      <c r="P56" s="8">
        <f t="shared" si="2"/>
        <v>11162074</v>
      </c>
    </row>
    <row r="57" spans="1:16" x14ac:dyDescent="0.25">
      <c r="A57" s="24">
        <v>1014040</v>
      </c>
      <c r="B57" s="24">
        <v>4040</v>
      </c>
      <c r="C57" s="24" t="s">
        <v>214</v>
      </c>
      <c r="D57" s="163" t="s">
        <v>216</v>
      </c>
      <c r="E57" s="164">
        <v>2900855</v>
      </c>
      <c r="F57" s="164">
        <f>96395</f>
        <v>96395</v>
      </c>
      <c r="G57" s="164"/>
      <c r="H57" s="164">
        <v>96395</v>
      </c>
      <c r="I57" s="8">
        <f t="shared" si="3"/>
        <v>2997250</v>
      </c>
      <c r="J57" s="164">
        <v>80000</v>
      </c>
      <c r="K57" s="164"/>
      <c r="L57" s="164"/>
      <c r="M57" s="164"/>
      <c r="N57" s="164"/>
      <c r="O57" s="8">
        <f t="shared" si="1"/>
        <v>80000</v>
      </c>
      <c r="P57" s="8">
        <f t="shared" si="2"/>
        <v>3077250</v>
      </c>
    </row>
    <row r="58" spans="1:16" ht="33.75" x14ac:dyDescent="0.25">
      <c r="A58" s="11">
        <v>1014060</v>
      </c>
      <c r="B58" s="11">
        <v>4060</v>
      </c>
      <c r="C58" s="11" t="s">
        <v>217</v>
      </c>
      <c r="D58" s="163" t="s">
        <v>218</v>
      </c>
      <c r="E58" s="164">
        <f>13810814-600000</f>
        <v>13210814</v>
      </c>
      <c r="F58" s="164">
        <f>200000+118920+600000+40000</f>
        <v>958920</v>
      </c>
      <c r="G58" s="164">
        <f>491000</f>
        <v>491000</v>
      </c>
      <c r="H58" s="164">
        <v>118920</v>
      </c>
      <c r="I58" s="8">
        <f t="shared" si="3"/>
        <v>14169734</v>
      </c>
      <c r="J58" s="164">
        <f>250000+600000</f>
        <v>850000</v>
      </c>
      <c r="K58" s="164">
        <f>30000+25000+75000</f>
        <v>130000</v>
      </c>
      <c r="L58" s="164"/>
      <c r="M58" s="164">
        <f>30000+25000+75000</f>
        <v>130000</v>
      </c>
      <c r="N58" s="164">
        <f>30000+25000+75000</f>
        <v>130000</v>
      </c>
      <c r="O58" s="8">
        <f t="shared" si="1"/>
        <v>980000</v>
      </c>
      <c r="P58" s="8">
        <f t="shared" si="2"/>
        <v>15149734</v>
      </c>
    </row>
    <row r="59" spans="1:16" ht="22.5" x14ac:dyDescent="0.25">
      <c r="A59" s="24">
        <v>1014081</v>
      </c>
      <c r="B59" s="24">
        <v>4081</v>
      </c>
      <c r="C59" s="24" t="s">
        <v>219</v>
      </c>
      <c r="D59" s="163" t="s">
        <v>220</v>
      </c>
      <c r="E59" s="164">
        <v>1658910</v>
      </c>
      <c r="F59" s="164"/>
      <c r="G59" s="164"/>
      <c r="H59" s="164"/>
      <c r="I59" s="8">
        <f t="shared" si="3"/>
        <v>1658910</v>
      </c>
      <c r="J59" s="164"/>
      <c r="K59" s="164"/>
      <c r="L59" s="164"/>
      <c r="M59" s="164"/>
      <c r="N59" s="164"/>
      <c r="O59" s="8">
        <f t="shared" si="1"/>
        <v>0</v>
      </c>
      <c r="P59" s="8">
        <f t="shared" si="2"/>
        <v>1658910</v>
      </c>
    </row>
    <row r="60" spans="1:16" x14ac:dyDescent="0.25">
      <c r="A60" s="24">
        <v>1014082</v>
      </c>
      <c r="B60" s="24">
        <v>4082</v>
      </c>
      <c r="C60" s="24" t="s">
        <v>219</v>
      </c>
      <c r="D60" s="163" t="s">
        <v>221</v>
      </c>
      <c r="E60" s="164">
        <v>400000</v>
      </c>
      <c r="F60" s="164">
        <f>30000-30000</f>
        <v>0</v>
      </c>
      <c r="G60" s="164"/>
      <c r="H60" s="164"/>
      <c r="I60" s="8">
        <f t="shared" ref="I60:I61" si="11">SUM(E60:F60)</f>
        <v>400000</v>
      </c>
      <c r="J60" s="164"/>
      <c r="K60" s="164"/>
      <c r="L60" s="164"/>
      <c r="M60" s="164"/>
      <c r="N60" s="164"/>
      <c r="O60" s="8">
        <f t="shared" ref="O60" si="12">SUM(J60+K60)</f>
        <v>0</v>
      </c>
      <c r="P60" s="8">
        <f t="shared" ref="P60:P61" si="13">SUM(I60+O60)</f>
        <v>400000</v>
      </c>
    </row>
    <row r="61" spans="1:16" x14ac:dyDescent="0.25">
      <c r="A61" s="11" t="s">
        <v>513</v>
      </c>
      <c r="B61" s="11" t="s">
        <v>258</v>
      </c>
      <c r="C61" s="11" t="s">
        <v>257</v>
      </c>
      <c r="D61" s="163" t="s">
        <v>256</v>
      </c>
      <c r="E61" s="164"/>
      <c r="F61" s="164">
        <v>332000</v>
      </c>
      <c r="G61" s="164"/>
      <c r="H61" s="164"/>
      <c r="I61" s="8">
        <f t="shared" si="11"/>
        <v>332000</v>
      </c>
      <c r="J61" s="164"/>
      <c r="K61" s="164"/>
      <c r="L61" s="164"/>
      <c r="M61" s="164"/>
      <c r="N61" s="164"/>
      <c r="O61" s="8"/>
      <c r="P61" s="8">
        <f t="shared" si="13"/>
        <v>332000</v>
      </c>
    </row>
    <row r="62" spans="1:16" ht="22.5" x14ac:dyDescent="0.25">
      <c r="A62" s="11" t="s">
        <v>489</v>
      </c>
      <c r="B62" s="11">
        <v>7370</v>
      </c>
      <c r="C62" s="11" t="s">
        <v>186</v>
      </c>
      <c r="D62" s="163" t="s">
        <v>15</v>
      </c>
      <c r="E62" s="164">
        <v>0</v>
      </c>
      <c r="F62" s="164"/>
      <c r="G62" s="164"/>
      <c r="H62" s="164"/>
      <c r="I62" s="8">
        <f t="shared" si="3"/>
        <v>0</v>
      </c>
      <c r="J62" s="164">
        <v>0</v>
      </c>
      <c r="K62" s="164">
        <f>50000</f>
        <v>50000</v>
      </c>
      <c r="L62" s="164"/>
      <c r="M62" s="164">
        <f>50000</f>
        <v>50000</v>
      </c>
      <c r="N62" s="164">
        <f>50000</f>
        <v>50000</v>
      </c>
      <c r="O62" s="8">
        <f t="shared" si="1"/>
        <v>50000</v>
      </c>
      <c r="P62" s="8">
        <f t="shared" si="2"/>
        <v>50000</v>
      </c>
    </row>
    <row r="63" spans="1:16" x14ac:dyDescent="0.25">
      <c r="A63" s="160">
        <v>11</v>
      </c>
      <c r="B63" s="161"/>
      <c r="C63" s="161"/>
      <c r="D63" s="162" t="s">
        <v>24</v>
      </c>
      <c r="E63" s="167">
        <f>SUM(E64:E68)</f>
        <v>23979090</v>
      </c>
      <c r="F63" s="167">
        <f>SUM(F64:F68)</f>
        <v>1430370</v>
      </c>
      <c r="G63" s="167">
        <f t="shared" ref="G63:N63" si="14">SUM(G64:G68)</f>
        <v>0</v>
      </c>
      <c r="H63" s="167">
        <f t="shared" si="14"/>
        <v>917370</v>
      </c>
      <c r="I63" s="8">
        <f t="shared" si="3"/>
        <v>25409460</v>
      </c>
      <c r="J63" s="167">
        <f t="shared" si="14"/>
        <v>1555000</v>
      </c>
      <c r="K63" s="167">
        <f t="shared" si="14"/>
        <v>210000</v>
      </c>
      <c r="L63" s="167">
        <f t="shared" si="14"/>
        <v>0</v>
      </c>
      <c r="M63" s="167">
        <f t="shared" si="14"/>
        <v>210000</v>
      </c>
      <c r="N63" s="167">
        <f t="shared" si="14"/>
        <v>210000</v>
      </c>
      <c r="O63" s="8">
        <f t="shared" si="1"/>
        <v>1765000</v>
      </c>
      <c r="P63" s="8">
        <f t="shared" si="2"/>
        <v>27174460</v>
      </c>
    </row>
    <row r="64" spans="1:16" ht="33.75" x14ac:dyDescent="0.25">
      <c r="A64" s="24">
        <v>1110160</v>
      </c>
      <c r="B64" s="24" t="s">
        <v>191</v>
      </c>
      <c r="C64" s="24" t="s">
        <v>156</v>
      </c>
      <c r="D64" s="163" t="s">
        <v>192</v>
      </c>
      <c r="E64" s="164">
        <v>3143200</v>
      </c>
      <c r="F64" s="164">
        <f>126210</f>
        <v>126210</v>
      </c>
      <c r="G64" s="164"/>
      <c r="H64" s="164">
        <f>10710+115500</f>
        <v>126210</v>
      </c>
      <c r="I64" s="8">
        <f t="shared" si="3"/>
        <v>3269410</v>
      </c>
      <c r="J64" s="164">
        <v>240000</v>
      </c>
      <c r="K64" s="164"/>
      <c r="L64" s="165"/>
      <c r="M64" s="164"/>
      <c r="N64" s="164"/>
      <c r="O64" s="8">
        <f t="shared" si="1"/>
        <v>240000</v>
      </c>
      <c r="P64" s="8">
        <f t="shared" si="2"/>
        <v>3509410</v>
      </c>
    </row>
    <row r="65" spans="1:19" ht="56.25" x14ac:dyDescent="0.25">
      <c r="A65" s="24">
        <v>1113133</v>
      </c>
      <c r="B65" s="24">
        <v>3133</v>
      </c>
      <c r="C65" s="24">
        <v>1040</v>
      </c>
      <c r="D65" s="163" t="s">
        <v>392</v>
      </c>
      <c r="E65" s="164">
        <v>551850</v>
      </c>
      <c r="F65" s="164">
        <v>20000</v>
      </c>
      <c r="G65" s="164"/>
      <c r="H65" s="164"/>
      <c r="I65" s="8">
        <f t="shared" si="3"/>
        <v>571850</v>
      </c>
      <c r="J65" s="164"/>
      <c r="K65" s="164"/>
      <c r="L65" s="165"/>
      <c r="M65" s="164"/>
      <c r="N65" s="164"/>
      <c r="O65" s="8">
        <f t="shared" si="1"/>
        <v>0</v>
      </c>
      <c r="P65" s="8">
        <f t="shared" si="2"/>
        <v>571850</v>
      </c>
    </row>
    <row r="66" spans="1:19" ht="67.5" x14ac:dyDescent="0.25">
      <c r="A66" s="24">
        <v>1115031</v>
      </c>
      <c r="B66" s="24">
        <v>5031</v>
      </c>
      <c r="C66" s="24" t="s">
        <v>222</v>
      </c>
      <c r="D66" s="163" t="s">
        <v>391</v>
      </c>
      <c r="E66" s="164">
        <v>16707840</v>
      </c>
      <c r="F66" s="164">
        <f>906660+50000+120000+40000-115500</f>
        <v>1001160</v>
      </c>
      <c r="G66" s="164"/>
      <c r="H66" s="164">
        <f>906660-115500</f>
        <v>791160</v>
      </c>
      <c r="I66" s="8">
        <f t="shared" si="3"/>
        <v>17709000</v>
      </c>
      <c r="J66" s="164">
        <f>940000+375000</f>
        <v>1315000</v>
      </c>
      <c r="K66" s="164">
        <f>40000+170000</f>
        <v>210000</v>
      </c>
      <c r="L66" s="165"/>
      <c r="M66" s="164">
        <f>40000+170000</f>
        <v>210000</v>
      </c>
      <c r="N66" s="164">
        <f>40000+170000</f>
        <v>210000</v>
      </c>
      <c r="O66" s="8">
        <f t="shared" si="1"/>
        <v>1525000</v>
      </c>
      <c r="P66" s="8">
        <f t="shared" si="2"/>
        <v>19234000</v>
      </c>
    </row>
    <row r="67" spans="1:19" ht="45" x14ac:dyDescent="0.25">
      <c r="A67" s="24">
        <v>1115061</v>
      </c>
      <c r="B67" s="24">
        <v>5061</v>
      </c>
      <c r="C67" s="24" t="s">
        <v>222</v>
      </c>
      <c r="D67" s="163" t="s">
        <v>32</v>
      </c>
      <c r="E67" s="164">
        <v>1265000</v>
      </c>
      <c r="F67" s="164">
        <f>30000+30000+100000+123000</f>
        <v>283000</v>
      </c>
      <c r="G67" s="164"/>
      <c r="H67" s="164"/>
      <c r="I67" s="8">
        <f t="shared" si="3"/>
        <v>1548000</v>
      </c>
      <c r="J67" s="164"/>
      <c r="K67" s="164"/>
      <c r="L67" s="165"/>
      <c r="M67" s="164"/>
      <c r="N67" s="164"/>
      <c r="O67" s="8">
        <f t="shared" si="1"/>
        <v>0</v>
      </c>
      <c r="P67" s="8">
        <f t="shared" si="2"/>
        <v>1548000</v>
      </c>
    </row>
    <row r="68" spans="1:19" ht="33.75" x14ac:dyDescent="0.25">
      <c r="A68" s="11">
        <v>1115062</v>
      </c>
      <c r="B68" s="11">
        <v>5062</v>
      </c>
      <c r="C68" s="11" t="s">
        <v>222</v>
      </c>
      <c r="D68" s="163" t="s">
        <v>33</v>
      </c>
      <c r="E68" s="164">
        <v>2311200</v>
      </c>
      <c r="F68" s="164"/>
      <c r="G68" s="164"/>
      <c r="H68" s="164"/>
      <c r="I68" s="8">
        <f t="shared" si="3"/>
        <v>2311200</v>
      </c>
      <c r="J68" s="164"/>
      <c r="K68" s="164"/>
      <c r="L68" s="165"/>
      <c r="M68" s="164"/>
      <c r="N68" s="164"/>
      <c r="O68" s="8">
        <f t="shared" si="1"/>
        <v>0</v>
      </c>
      <c r="P68" s="8">
        <f t="shared" si="2"/>
        <v>2311200</v>
      </c>
    </row>
    <row r="69" spans="1:19" ht="21" x14ac:dyDescent="0.25">
      <c r="A69" s="160">
        <v>12</v>
      </c>
      <c r="B69" s="161"/>
      <c r="C69" s="161"/>
      <c r="D69" s="162" t="s">
        <v>25</v>
      </c>
      <c r="E69" s="167">
        <f>SUM(E70:E86)</f>
        <v>31513797</v>
      </c>
      <c r="F69" s="167">
        <f>SUM(F70:F86)</f>
        <v>4285217.95</v>
      </c>
      <c r="G69" s="167">
        <f t="shared" ref="G69:N69" si="15">SUM(G70:G86)</f>
        <v>0</v>
      </c>
      <c r="H69" s="167">
        <f t="shared" si="15"/>
        <v>682190</v>
      </c>
      <c r="I69" s="8">
        <f t="shared" si="3"/>
        <v>35799014.950000003</v>
      </c>
      <c r="J69" s="167">
        <f t="shared" si="15"/>
        <v>52670460</v>
      </c>
      <c r="K69" s="167">
        <f>SUM(K70:K86)</f>
        <v>6552000</v>
      </c>
      <c r="L69" s="167">
        <f t="shared" si="15"/>
        <v>0</v>
      </c>
      <c r="M69" s="167">
        <f t="shared" si="15"/>
        <v>6552000</v>
      </c>
      <c r="N69" s="167">
        <f t="shared" si="15"/>
        <v>6552000</v>
      </c>
      <c r="O69" s="8">
        <f t="shared" si="1"/>
        <v>59222460</v>
      </c>
      <c r="P69" s="8">
        <f t="shared" si="2"/>
        <v>95021474.950000003</v>
      </c>
      <c r="S69" s="35"/>
    </row>
    <row r="70" spans="1:19" ht="56.25" x14ac:dyDescent="0.25">
      <c r="A70" s="24" t="s">
        <v>299</v>
      </c>
      <c r="B70" s="24" t="s">
        <v>155</v>
      </c>
      <c r="C70" s="24" t="s">
        <v>156</v>
      </c>
      <c r="D70" s="163" t="s">
        <v>157</v>
      </c>
      <c r="E70" s="164">
        <f>56400+2636700+521150+50000</f>
        <v>3264250</v>
      </c>
      <c r="F70" s="164">
        <f>559150+50000</f>
        <v>609150</v>
      </c>
      <c r="G70" s="164"/>
      <c r="H70" s="164">
        <f>559150</f>
        <v>559150</v>
      </c>
      <c r="I70" s="8">
        <f t="shared" si="3"/>
        <v>3873400</v>
      </c>
      <c r="J70" s="164"/>
      <c r="K70" s="164"/>
      <c r="L70" s="165"/>
      <c r="M70" s="164"/>
      <c r="N70" s="164"/>
      <c r="O70" s="8">
        <f t="shared" si="1"/>
        <v>0</v>
      </c>
      <c r="P70" s="8">
        <f t="shared" si="2"/>
        <v>3873400</v>
      </c>
      <c r="S70" s="35"/>
    </row>
    <row r="71" spans="1:19" ht="33.75" x14ac:dyDescent="0.25">
      <c r="A71" s="24">
        <v>1210160</v>
      </c>
      <c r="B71" s="24" t="s">
        <v>191</v>
      </c>
      <c r="C71" s="24" t="s">
        <v>156</v>
      </c>
      <c r="D71" s="163" t="s">
        <v>192</v>
      </c>
      <c r="E71" s="164">
        <v>9049147</v>
      </c>
      <c r="F71" s="164">
        <f>10840+100000</f>
        <v>110840</v>
      </c>
      <c r="G71" s="164"/>
      <c r="H71" s="164">
        <v>10840</v>
      </c>
      <c r="I71" s="8">
        <f t="shared" si="3"/>
        <v>9159987</v>
      </c>
      <c r="J71" s="164"/>
      <c r="K71" s="164"/>
      <c r="L71" s="165"/>
      <c r="M71" s="164"/>
      <c r="N71" s="164"/>
      <c r="O71" s="8">
        <f t="shared" si="1"/>
        <v>0</v>
      </c>
      <c r="P71" s="8">
        <f t="shared" si="2"/>
        <v>9159987</v>
      </c>
      <c r="S71" s="35"/>
    </row>
    <row r="72" spans="1:19" x14ac:dyDescent="0.25">
      <c r="A72" s="24" t="s">
        <v>300</v>
      </c>
      <c r="B72" s="11">
        <v>1010</v>
      </c>
      <c r="C72" s="11" t="s">
        <v>194</v>
      </c>
      <c r="D72" s="163" t="s">
        <v>195</v>
      </c>
      <c r="E72" s="164">
        <v>950000</v>
      </c>
      <c r="F72" s="164">
        <v>150000</v>
      </c>
      <c r="G72" s="164"/>
      <c r="H72" s="164"/>
      <c r="I72" s="8">
        <f t="shared" si="3"/>
        <v>1100000</v>
      </c>
      <c r="J72" s="164">
        <v>50000</v>
      </c>
      <c r="K72" s="164"/>
      <c r="L72" s="165"/>
      <c r="M72" s="164"/>
      <c r="N72" s="164"/>
      <c r="O72" s="8">
        <f t="shared" si="1"/>
        <v>50000</v>
      </c>
      <c r="P72" s="8">
        <f t="shared" si="2"/>
        <v>1150000</v>
      </c>
    </row>
    <row r="73" spans="1:19" ht="33.75" x14ac:dyDescent="0.25">
      <c r="A73" s="11" t="s">
        <v>275</v>
      </c>
      <c r="B73" s="11">
        <v>1021</v>
      </c>
      <c r="C73" s="11" t="s">
        <v>197</v>
      </c>
      <c r="D73" s="163" t="s">
        <v>234</v>
      </c>
      <c r="E73" s="164"/>
      <c r="F73" s="164">
        <v>200000</v>
      </c>
      <c r="G73" s="164"/>
      <c r="H73" s="164"/>
      <c r="I73" s="8">
        <f t="shared" si="3"/>
        <v>200000</v>
      </c>
      <c r="J73" s="164">
        <f>100000+40120460</f>
        <v>40220460</v>
      </c>
      <c r="K73" s="164">
        <f>150000</f>
        <v>150000</v>
      </c>
      <c r="L73" s="165"/>
      <c r="M73" s="164">
        <f>150000</f>
        <v>150000</v>
      </c>
      <c r="N73" s="164">
        <f>150000</f>
        <v>150000</v>
      </c>
      <c r="O73" s="8">
        <f t="shared" si="1"/>
        <v>40370460</v>
      </c>
      <c r="P73" s="8">
        <f t="shared" si="2"/>
        <v>40570460</v>
      </c>
    </row>
    <row r="74" spans="1:19" ht="22.5" x14ac:dyDescent="0.25">
      <c r="A74" s="24" t="s">
        <v>308</v>
      </c>
      <c r="B74" s="24">
        <v>1080</v>
      </c>
      <c r="C74" s="24" t="s">
        <v>203</v>
      </c>
      <c r="D74" s="163" t="s">
        <v>213</v>
      </c>
      <c r="E74" s="164"/>
      <c r="F74" s="164"/>
      <c r="G74" s="164"/>
      <c r="H74" s="164"/>
      <c r="I74" s="8">
        <f t="shared" si="3"/>
        <v>0</v>
      </c>
      <c r="J74" s="164">
        <v>250000</v>
      </c>
      <c r="K74" s="164"/>
      <c r="L74" s="165"/>
      <c r="M74" s="164"/>
      <c r="N74" s="164"/>
      <c r="O74" s="8">
        <f t="shared" si="1"/>
        <v>250000</v>
      </c>
      <c r="P74" s="8">
        <f t="shared" si="2"/>
        <v>250000</v>
      </c>
    </row>
    <row r="75" spans="1:19" ht="22.5" x14ac:dyDescent="0.25">
      <c r="A75" s="11" t="s">
        <v>463</v>
      </c>
      <c r="B75" s="11">
        <v>2152</v>
      </c>
      <c r="C75" s="11" t="s">
        <v>173</v>
      </c>
      <c r="D75" s="163" t="s">
        <v>174</v>
      </c>
      <c r="E75" s="164"/>
      <c r="F75" s="164"/>
      <c r="G75" s="164"/>
      <c r="H75" s="164"/>
      <c r="I75" s="8">
        <f t="shared" si="3"/>
        <v>0</v>
      </c>
      <c r="J75" s="164"/>
      <c r="K75" s="164">
        <v>500000</v>
      </c>
      <c r="L75" s="165"/>
      <c r="M75" s="164">
        <v>500000</v>
      </c>
      <c r="N75" s="164">
        <v>500000</v>
      </c>
      <c r="O75" s="8">
        <f t="shared" si="1"/>
        <v>500000</v>
      </c>
      <c r="P75" s="8">
        <f t="shared" si="2"/>
        <v>500000</v>
      </c>
    </row>
    <row r="76" spans="1:19" x14ac:dyDescent="0.25">
      <c r="A76" s="24" t="s">
        <v>540</v>
      </c>
      <c r="B76" s="24">
        <v>4030</v>
      </c>
      <c r="C76" s="24" t="s">
        <v>214</v>
      </c>
      <c r="D76" s="163" t="s">
        <v>215</v>
      </c>
      <c r="E76" s="164"/>
      <c r="F76" s="164"/>
      <c r="G76" s="164"/>
      <c r="H76" s="164"/>
      <c r="I76" s="8">
        <f t="shared" si="3"/>
        <v>0</v>
      </c>
      <c r="J76" s="164"/>
      <c r="K76" s="164">
        <v>150000</v>
      </c>
      <c r="L76" s="165"/>
      <c r="M76" s="164">
        <v>150000</v>
      </c>
      <c r="N76" s="164">
        <v>150000</v>
      </c>
      <c r="O76" s="8">
        <f t="shared" si="1"/>
        <v>150000</v>
      </c>
      <c r="P76" s="8">
        <f t="shared" si="2"/>
        <v>150000</v>
      </c>
    </row>
    <row r="77" spans="1:19" ht="33.75" x14ac:dyDescent="0.25">
      <c r="A77" s="11" t="s">
        <v>307</v>
      </c>
      <c r="B77" s="11">
        <v>4060</v>
      </c>
      <c r="C77" s="11" t="s">
        <v>217</v>
      </c>
      <c r="D77" s="163" t="s">
        <v>218</v>
      </c>
      <c r="E77" s="164">
        <f>18300+735000</f>
        <v>753300</v>
      </c>
      <c r="F77" s="164">
        <f>45000</f>
        <v>45000</v>
      </c>
      <c r="G77" s="164"/>
      <c r="H77" s="164">
        <f>45000</f>
        <v>45000</v>
      </c>
      <c r="I77" s="8">
        <f t="shared" si="3"/>
        <v>798300</v>
      </c>
      <c r="J77" s="164">
        <v>400000</v>
      </c>
      <c r="K77" s="164"/>
      <c r="L77" s="165"/>
      <c r="M77" s="164"/>
      <c r="N77" s="164"/>
      <c r="O77" s="8">
        <f t="shared" si="1"/>
        <v>400000</v>
      </c>
      <c r="P77" s="8">
        <f t="shared" si="2"/>
        <v>1198300</v>
      </c>
    </row>
    <row r="78" spans="1:19" ht="67.5" x14ac:dyDescent="0.25">
      <c r="A78" s="24" t="s">
        <v>301</v>
      </c>
      <c r="B78" s="24">
        <v>5031</v>
      </c>
      <c r="C78" s="24" t="s">
        <v>222</v>
      </c>
      <c r="D78" s="163" t="s">
        <v>391</v>
      </c>
      <c r="E78" s="164"/>
      <c r="F78" s="164"/>
      <c r="G78" s="164"/>
      <c r="H78" s="164"/>
      <c r="I78" s="8">
        <f t="shared" si="3"/>
        <v>0</v>
      </c>
      <c r="J78" s="164">
        <v>2300000</v>
      </c>
      <c r="K78" s="164">
        <v>300000</v>
      </c>
      <c r="L78" s="165"/>
      <c r="M78" s="164">
        <v>300000</v>
      </c>
      <c r="N78" s="164">
        <v>300000</v>
      </c>
      <c r="O78" s="8">
        <f t="shared" si="1"/>
        <v>2600000</v>
      </c>
      <c r="P78" s="8">
        <f t="shared" si="2"/>
        <v>2600000</v>
      </c>
    </row>
    <row r="79" spans="1:19" ht="22.5" x14ac:dyDescent="0.25">
      <c r="A79" s="39">
        <v>1216013</v>
      </c>
      <c r="B79" s="145">
        <v>6013</v>
      </c>
      <c r="C79" s="145">
        <v>620</v>
      </c>
      <c r="D79" s="122" t="s">
        <v>277</v>
      </c>
      <c r="E79" s="164">
        <v>5060000</v>
      </c>
      <c r="F79" s="164">
        <f>2500000+500000</f>
        <v>3000000</v>
      </c>
      <c r="G79" s="164"/>
      <c r="H79" s="164"/>
      <c r="I79" s="8">
        <f t="shared" si="3"/>
        <v>8060000</v>
      </c>
      <c r="J79" s="164">
        <v>1450000</v>
      </c>
      <c r="K79" s="164">
        <v>-500000</v>
      </c>
      <c r="L79" s="165"/>
      <c r="M79" s="164">
        <v>-500000</v>
      </c>
      <c r="N79" s="164">
        <v>-500000</v>
      </c>
      <c r="O79" s="8">
        <f t="shared" si="1"/>
        <v>950000</v>
      </c>
      <c r="P79" s="8">
        <f t="shared" si="2"/>
        <v>9010000</v>
      </c>
    </row>
    <row r="80" spans="1:19" x14ac:dyDescent="0.25">
      <c r="A80" s="39">
        <v>1216040</v>
      </c>
      <c r="B80" s="145">
        <v>6040</v>
      </c>
      <c r="C80" s="145">
        <v>620</v>
      </c>
      <c r="D80" s="122" t="s">
        <v>302</v>
      </c>
      <c r="E80" s="164">
        <v>1695000</v>
      </c>
      <c r="F80" s="164"/>
      <c r="G80" s="164"/>
      <c r="H80" s="164"/>
      <c r="I80" s="8">
        <f t="shared" si="3"/>
        <v>1695000</v>
      </c>
      <c r="J80" s="164"/>
      <c r="K80" s="164"/>
      <c r="L80" s="165"/>
      <c r="M80" s="164"/>
      <c r="N80" s="164"/>
      <c r="O80" s="8">
        <f t="shared" si="1"/>
        <v>0</v>
      </c>
      <c r="P80" s="8">
        <f t="shared" si="2"/>
        <v>1695000</v>
      </c>
    </row>
    <row r="81" spans="1:19" ht="78.75" x14ac:dyDescent="0.25">
      <c r="A81" s="24">
        <v>1216071</v>
      </c>
      <c r="B81" s="24">
        <v>6071</v>
      </c>
      <c r="C81" s="24" t="s">
        <v>223</v>
      </c>
      <c r="D81" s="166" t="s">
        <v>53</v>
      </c>
      <c r="E81" s="164">
        <v>6700000</v>
      </c>
      <c r="F81" s="164"/>
      <c r="G81" s="164"/>
      <c r="H81" s="164"/>
      <c r="I81" s="8">
        <f t="shared" si="3"/>
        <v>6700000</v>
      </c>
      <c r="J81" s="164"/>
      <c r="K81" s="164"/>
      <c r="L81" s="165"/>
      <c r="M81" s="164"/>
      <c r="N81" s="164"/>
      <c r="O81" s="8">
        <f t="shared" si="1"/>
        <v>0</v>
      </c>
      <c r="P81" s="8">
        <f t="shared" si="2"/>
        <v>6700000</v>
      </c>
    </row>
    <row r="82" spans="1:19" ht="22.5" x14ac:dyDescent="0.25">
      <c r="A82" s="24">
        <v>1216090</v>
      </c>
      <c r="B82" s="24">
        <v>6090</v>
      </c>
      <c r="C82" s="24" t="s">
        <v>223</v>
      </c>
      <c r="D82" s="163" t="s">
        <v>224</v>
      </c>
      <c r="E82" s="164">
        <v>4042100</v>
      </c>
      <c r="F82" s="164">
        <f>67200-100000+50000</f>
        <v>17200</v>
      </c>
      <c r="G82" s="164"/>
      <c r="H82" s="164">
        <f>67200</f>
        <v>67200</v>
      </c>
      <c r="I82" s="8">
        <f t="shared" si="3"/>
        <v>4059300</v>
      </c>
      <c r="J82" s="164"/>
      <c r="K82" s="164">
        <f>300000+300000+145000</f>
        <v>745000</v>
      </c>
      <c r="L82" s="165"/>
      <c r="M82" s="164">
        <f>300000+300000+145000</f>
        <v>745000</v>
      </c>
      <c r="N82" s="164">
        <f>300000+300000+145000</f>
        <v>745000</v>
      </c>
      <c r="O82" s="8">
        <f t="shared" si="1"/>
        <v>745000</v>
      </c>
      <c r="P82" s="8">
        <f t="shared" si="2"/>
        <v>4804300</v>
      </c>
    </row>
    <row r="83" spans="1:19" ht="22.5" x14ac:dyDescent="0.25">
      <c r="A83" s="39">
        <v>1217670</v>
      </c>
      <c r="B83" s="121">
        <v>7670</v>
      </c>
      <c r="C83" s="145">
        <v>490</v>
      </c>
      <c r="D83" s="122" t="s">
        <v>303</v>
      </c>
      <c r="E83" s="164"/>
      <c r="F83" s="164"/>
      <c r="G83" s="164"/>
      <c r="H83" s="164"/>
      <c r="I83" s="8">
        <f t="shared" si="3"/>
        <v>0</v>
      </c>
      <c r="J83" s="164">
        <v>8000000</v>
      </c>
      <c r="K83" s="164">
        <f>4750000</f>
        <v>4750000</v>
      </c>
      <c r="L83" s="165"/>
      <c r="M83" s="164">
        <f>4750000</f>
        <v>4750000</v>
      </c>
      <c r="N83" s="164">
        <f>4750000</f>
        <v>4750000</v>
      </c>
      <c r="O83" s="8">
        <f t="shared" si="1"/>
        <v>12750000</v>
      </c>
      <c r="P83" s="8">
        <f t="shared" si="2"/>
        <v>12750000</v>
      </c>
    </row>
    <row r="84" spans="1:19" ht="22.5" x14ac:dyDescent="0.25">
      <c r="A84" s="224">
        <v>1217370</v>
      </c>
      <c r="B84" s="225">
        <v>7370</v>
      </c>
      <c r="C84" s="42">
        <v>490</v>
      </c>
      <c r="D84" s="43" t="s">
        <v>15</v>
      </c>
      <c r="E84" s="164"/>
      <c r="F84" s="164">
        <v>50000</v>
      </c>
      <c r="G84" s="164"/>
      <c r="H84" s="164"/>
      <c r="I84" s="8">
        <f t="shared" si="3"/>
        <v>50000</v>
      </c>
      <c r="J84" s="164"/>
      <c r="K84" s="164">
        <f>27000+130000</f>
        <v>157000</v>
      </c>
      <c r="L84" s="165"/>
      <c r="M84" s="164">
        <f>27000+130000</f>
        <v>157000</v>
      </c>
      <c r="N84" s="164">
        <f>27000+130000</f>
        <v>157000</v>
      </c>
      <c r="O84" s="8">
        <f t="shared" si="1"/>
        <v>157000</v>
      </c>
      <c r="P84" s="8">
        <f t="shared" si="2"/>
        <v>207000</v>
      </c>
    </row>
    <row r="85" spans="1:19" ht="22.5" x14ac:dyDescent="0.25">
      <c r="A85" s="11" t="s">
        <v>514</v>
      </c>
      <c r="B85" s="11">
        <v>7693</v>
      </c>
      <c r="C85" s="11" t="s">
        <v>186</v>
      </c>
      <c r="D85" s="166" t="s">
        <v>188</v>
      </c>
      <c r="E85" s="164"/>
      <c r="F85" s="164">
        <v>103027.95</v>
      </c>
      <c r="G85" s="164"/>
      <c r="H85" s="164"/>
      <c r="I85" s="8">
        <f t="shared" si="3"/>
        <v>103027.95</v>
      </c>
      <c r="J85" s="164"/>
      <c r="K85" s="164"/>
      <c r="L85" s="165"/>
      <c r="M85" s="164"/>
      <c r="N85" s="164"/>
      <c r="O85" s="8"/>
      <c r="P85" s="8">
        <f t="shared" si="2"/>
        <v>103027.95</v>
      </c>
    </row>
    <row r="86" spans="1:19" x14ac:dyDescent="0.25">
      <c r="A86" s="147" t="s">
        <v>465</v>
      </c>
      <c r="B86" s="121">
        <v>9770</v>
      </c>
      <c r="C86" s="145">
        <v>180</v>
      </c>
      <c r="D86" s="122" t="s">
        <v>452</v>
      </c>
      <c r="E86" s="164"/>
      <c r="F86" s="164"/>
      <c r="G86" s="164"/>
      <c r="H86" s="164"/>
      <c r="I86" s="8">
        <f t="shared" si="3"/>
        <v>0</v>
      </c>
      <c r="J86" s="164"/>
      <c r="K86" s="164">
        <v>300000</v>
      </c>
      <c r="L86" s="165"/>
      <c r="M86" s="164">
        <v>300000</v>
      </c>
      <c r="N86" s="164">
        <v>300000</v>
      </c>
      <c r="O86" s="8">
        <f t="shared" si="1"/>
        <v>300000</v>
      </c>
      <c r="P86" s="8">
        <f t="shared" si="2"/>
        <v>300000</v>
      </c>
    </row>
    <row r="87" spans="1:19" ht="21" x14ac:dyDescent="0.25">
      <c r="A87" s="172">
        <v>14</v>
      </c>
      <c r="B87" s="173"/>
      <c r="C87" s="173"/>
      <c r="D87" s="162" t="s">
        <v>26</v>
      </c>
      <c r="E87" s="167">
        <f t="shared" ref="E87:N87" si="16">SUM(E88:E92)</f>
        <v>60539116</v>
      </c>
      <c r="F87" s="167">
        <f>SUM(F88:F92)</f>
        <v>-371950</v>
      </c>
      <c r="G87" s="167">
        <f t="shared" si="16"/>
        <v>0</v>
      </c>
      <c r="H87" s="167">
        <f t="shared" si="16"/>
        <v>0</v>
      </c>
      <c r="I87" s="8">
        <f t="shared" si="3"/>
        <v>60167166</v>
      </c>
      <c r="J87" s="167">
        <f t="shared" si="16"/>
        <v>8655300</v>
      </c>
      <c r="K87" s="167">
        <f>SUM(K88:K92)</f>
        <v>9179800</v>
      </c>
      <c r="L87" s="167">
        <f t="shared" si="16"/>
        <v>0</v>
      </c>
      <c r="M87" s="167">
        <f t="shared" si="16"/>
        <v>8433800</v>
      </c>
      <c r="N87" s="167">
        <f t="shared" si="16"/>
        <v>8433800</v>
      </c>
      <c r="O87" s="8">
        <f t="shared" si="1"/>
        <v>17835100</v>
      </c>
      <c r="P87" s="8">
        <f t="shared" si="2"/>
        <v>78002266</v>
      </c>
      <c r="S87" s="35"/>
    </row>
    <row r="88" spans="1:19" ht="22.5" x14ac:dyDescent="0.25">
      <c r="A88" s="24">
        <v>1410160</v>
      </c>
      <c r="B88" s="24" t="s">
        <v>191</v>
      </c>
      <c r="C88" s="24" t="s">
        <v>156</v>
      </c>
      <c r="D88" s="163" t="s">
        <v>225</v>
      </c>
      <c r="E88" s="164">
        <v>7374220</v>
      </c>
      <c r="F88" s="164"/>
      <c r="G88" s="164"/>
      <c r="H88" s="164"/>
      <c r="I88" s="8">
        <f t="shared" si="3"/>
        <v>7374220</v>
      </c>
      <c r="J88" s="164"/>
      <c r="K88" s="164"/>
      <c r="L88" s="165"/>
      <c r="M88" s="164"/>
      <c r="N88" s="164"/>
      <c r="O88" s="8">
        <f t="shared" si="1"/>
        <v>0</v>
      </c>
      <c r="P88" s="8">
        <f t="shared" si="2"/>
        <v>7374220</v>
      </c>
      <c r="S88" s="35"/>
    </row>
    <row r="89" spans="1:19" x14ac:dyDescent="0.25">
      <c r="A89" s="24">
        <v>1416030</v>
      </c>
      <c r="B89" s="24">
        <v>6030</v>
      </c>
      <c r="C89" s="24" t="s">
        <v>226</v>
      </c>
      <c r="D89" s="163" t="s">
        <v>227</v>
      </c>
      <c r="E89" s="164">
        <f>51314896+1850000</f>
        <v>53164896</v>
      </c>
      <c r="F89" s="164">
        <f>-2500000-1300000+270050+60000+15000+63000</f>
        <v>-3391950</v>
      </c>
      <c r="G89" s="164"/>
      <c r="H89" s="164"/>
      <c r="I89" s="8">
        <f t="shared" ref="I89:I98" si="17">SUM(E89:F89)</f>
        <v>49772946</v>
      </c>
      <c r="J89" s="164">
        <f>6300000+1650000</f>
        <v>7950000</v>
      </c>
      <c r="K89" s="164">
        <f>-3000000+3102000+250000+1300000+778000+250000+60000+120000+86800+650000+646000+100000</f>
        <v>4342800</v>
      </c>
      <c r="L89" s="165"/>
      <c r="M89" s="164">
        <f>-3000000+3102000+250000+1300000+778000+250000+60000+120000+86800+650000</f>
        <v>3596800</v>
      </c>
      <c r="N89" s="164">
        <f>-3000000+3102000+250000+1300000+778000+250000+60000+120000+86800+650000</f>
        <v>3596800</v>
      </c>
      <c r="O89" s="8">
        <f t="shared" ref="O89:O97" si="18">SUM(J89+K89)</f>
        <v>12292800</v>
      </c>
      <c r="P89" s="8">
        <f t="shared" ref="P89:P98" si="19">SUM(I89+O89)</f>
        <v>62065746</v>
      </c>
    </row>
    <row r="90" spans="1:19" ht="33.75" x14ac:dyDescent="0.25">
      <c r="A90" s="39">
        <v>1417461</v>
      </c>
      <c r="B90" s="121">
        <v>7461</v>
      </c>
      <c r="C90" s="145">
        <v>456</v>
      </c>
      <c r="D90" s="122" t="s">
        <v>445</v>
      </c>
      <c r="E90" s="164"/>
      <c r="F90" s="164">
        <f>2500000+20000+220000</f>
        <v>2740000</v>
      </c>
      <c r="G90" s="164"/>
      <c r="H90" s="164"/>
      <c r="I90" s="8">
        <f t="shared" si="17"/>
        <v>2740000</v>
      </c>
      <c r="J90" s="164"/>
      <c r="K90" s="164">
        <f>3000000+50000+1247000+400000</f>
        <v>4697000</v>
      </c>
      <c r="L90" s="165"/>
      <c r="M90" s="164">
        <f>3000000+50000+1247000+400000</f>
        <v>4697000</v>
      </c>
      <c r="N90" s="164">
        <f>3000000+50000+1247000+400000</f>
        <v>4697000</v>
      </c>
      <c r="O90" s="8">
        <f t="shared" si="18"/>
        <v>4697000</v>
      </c>
      <c r="P90" s="8">
        <f t="shared" si="19"/>
        <v>7437000</v>
      </c>
    </row>
    <row r="91" spans="1:19" ht="22.5" x14ac:dyDescent="0.25">
      <c r="A91" s="224">
        <v>1417370</v>
      </c>
      <c r="B91" s="225">
        <v>7370</v>
      </c>
      <c r="C91" s="42">
        <v>490</v>
      </c>
      <c r="D91" s="43" t="s">
        <v>15</v>
      </c>
      <c r="E91" s="164"/>
      <c r="F91" s="164">
        <f>60000+20000+200000</f>
        <v>280000</v>
      </c>
      <c r="G91" s="164"/>
      <c r="H91" s="164"/>
      <c r="I91" s="8">
        <f t="shared" si="17"/>
        <v>280000</v>
      </c>
      <c r="J91" s="164"/>
      <c r="K91" s="164">
        <v>140000</v>
      </c>
      <c r="L91" s="165"/>
      <c r="M91" s="164">
        <v>140000</v>
      </c>
      <c r="N91" s="164">
        <v>140000</v>
      </c>
      <c r="O91" s="8">
        <f t="shared" si="18"/>
        <v>140000</v>
      </c>
      <c r="P91" s="8">
        <f t="shared" si="19"/>
        <v>420000</v>
      </c>
    </row>
    <row r="92" spans="1:19" ht="33.75" x14ac:dyDescent="0.25">
      <c r="A92" s="24">
        <v>1418312</v>
      </c>
      <c r="B92" s="24">
        <v>8312</v>
      </c>
      <c r="C92" s="24" t="s">
        <v>228</v>
      </c>
      <c r="D92" s="163" t="s">
        <v>390</v>
      </c>
      <c r="E92" s="164"/>
      <c r="F92" s="164"/>
      <c r="G92" s="164"/>
      <c r="H92" s="164"/>
      <c r="I92" s="8">
        <f t="shared" si="17"/>
        <v>0</v>
      </c>
      <c r="J92" s="164">
        <v>705300</v>
      </c>
      <c r="K92" s="164"/>
      <c r="L92" s="164"/>
      <c r="M92" s="164"/>
      <c r="N92" s="164"/>
      <c r="O92" s="8">
        <f t="shared" si="18"/>
        <v>705300</v>
      </c>
      <c r="P92" s="8">
        <f t="shared" si="19"/>
        <v>705300</v>
      </c>
    </row>
    <row r="93" spans="1:19" x14ac:dyDescent="0.25">
      <c r="A93" s="172">
        <v>37</v>
      </c>
      <c r="B93" s="173"/>
      <c r="C93" s="173"/>
      <c r="D93" s="162" t="s">
        <v>229</v>
      </c>
      <c r="E93" s="167">
        <f>SUM(E94:E97)</f>
        <v>11264005</v>
      </c>
      <c r="F93" s="167">
        <f t="shared" ref="F93:N93" si="20">SUM(F94:F97)</f>
        <v>0</v>
      </c>
      <c r="G93" s="167">
        <f t="shared" si="20"/>
        <v>0</v>
      </c>
      <c r="H93" s="167">
        <f t="shared" si="20"/>
        <v>0</v>
      </c>
      <c r="I93" s="8">
        <f t="shared" si="17"/>
        <v>11264005</v>
      </c>
      <c r="J93" s="167">
        <f t="shared" si="20"/>
        <v>56000</v>
      </c>
      <c r="K93" s="167">
        <f t="shared" si="20"/>
        <v>0</v>
      </c>
      <c r="L93" s="167">
        <f t="shared" si="20"/>
        <v>0</v>
      </c>
      <c r="M93" s="167">
        <f t="shared" si="20"/>
        <v>0</v>
      </c>
      <c r="N93" s="167">
        <f t="shared" si="20"/>
        <v>0</v>
      </c>
      <c r="O93" s="8">
        <f t="shared" si="18"/>
        <v>56000</v>
      </c>
      <c r="P93" s="8">
        <f t="shared" si="19"/>
        <v>11320005</v>
      </c>
    </row>
    <row r="94" spans="1:19" ht="33.75" x14ac:dyDescent="0.25">
      <c r="A94" s="24">
        <v>3710160</v>
      </c>
      <c r="B94" s="24" t="s">
        <v>191</v>
      </c>
      <c r="C94" s="24" t="s">
        <v>156</v>
      </c>
      <c r="D94" s="163" t="s">
        <v>192</v>
      </c>
      <c r="E94" s="164">
        <v>4149135</v>
      </c>
      <c r="F94" s="164"/>
      <c r="G94" s="164"/>
      <c r="H94" s="164"/>
      <c r="I94" s="8">
        <f t="shared" si="17"/>
        <v>4149135</v>
      </c>
      <c r="J94" s="164">
        <v>56000</v>
      </c>
      <c r="K94" s="164"/>
      <c r="L94" s="165"/>
      <c r="M94" s="164"/>
      <c r="N94" s="164"/>
      <c r="O94" s="8">
        <f t="shared" si="18"/>
        <v>56000</v>
      </c>
      <c r="P94" s="8">
        <f t="shared" si="19"/>
        <v>4205135</v>
      </c>
    </row>
    <row r="95" spans="1:19" x14ac:dyDescent="0.25">
      <c r="A95" s="24" t="s">
        <v>276</v>
      </c>
      <c r="B95" s="24" t="s">
        <v>298</v>
      </c>
      <c r="C95" s="24" t="s">
        <v>297</v>
      </c>
      <c r="D95" s="163" t="s">
        <v>296</v>
      </c>
      <c r="E95" s="164">
        <v>801170</v>
      </c>
      <c r="F95" s="164"/>
      <c r="G95" s="164"/>
      <c r="H95" s="164"/>
      <c r="I95" s="8">
        <f t="shared" si="17"/>
        <v>801170</v>
      </c>
      <c r="J95" s="164"/>
      <c r="K95" s="164"/>
      <c r="L95" s="165"/>
      <c r="M95" s="164"/>
      <c r="N95" s="164"/>
      <c r="O95" s="8">
        <f t="shared" si="18"/>
        <v>0</v>
      </c>
      <c r="P95" s="8">
        <f t="shared" si="19"/>
        <v>801170</v>
      </c>
    </row>
    <row r="96" spans="1:19" x14ac:dyDescent="0.25">
      <c r="A96" s="24">
        <v>3718710</v>
      </c>
      <c r="B96" s="24">
        <v>8710</v>
      </c>
      <c r="C96" s="24" t="s">
        <v>160</v>
      </c>
      <c r="D96" s="163" t="s">
        <v>367</v>
      </c>
      <c r="E96" s="164">
        <v>1000000</v>
      </c>
      <c r="F96" s="164"/>
      <c r="G96" s="164"/>
      <c r="H96" s="164"/>
      <c r="I96" s="8">
        <f t="shared" si="17"/>
        <v>1000000</v>
      </c>
      <c r="J96" s="164"/>
      <c r="K96" s="164"/>
      <c r="L96" s="165"/>
      <c r="M96" s="164"/>
      <c r="N96" s="164"/>
      <c r="O96" s="8">
        <f t="shared" si="18"/>
        <v>0</v>
      </c>
      <c r="P96" s="8">
        <f t="shared" si="19"/>
        <v>1000000</v>
      </c>
    </row>
    <row r="97" spans="1:19" x14ac:dyDescent="0.25">
      <c r="A97" s="24" t="s">
        <v>244</v>
      </c>
      <c r="B97" s="24" t="s">
        <v>245</v>
      </c>
      <c r="C97" s="24" t="s">
        <v>159</v>
      </c>
      <c r="D97" s="176" t="s">
        <v>246</v>
      </c>
      <c r="E97" s="164">
        <v>5313700</v>
      </c>
      <c r="F97" s="164"/>
      <c r="G97" s="164"/>
      <c r="H97" s="164"/>
      <c r="I97" s="8">
        <f t="shared" si="17"/>
        <v>5313700</v>
      </c>
      <c r="J97" s="164"/>
      <c r="K97" s="164"/>
      <c r="L97" s="164"/>
      <c r="M97" s="164"/>
      <c r="N97" s="164"/>
      <c r="O97" s="8">
        <f t="shared" si="18"/>
        <v>0</v>
      </c>
      <c r="P97" s="8">
        <f t="shared" si="19"/>
        <v>5313700</v>
      </c>
    </row>
    <row r="98" spans="1:19" x14ac:dyDescent="0.25">
      <c r="A98" s="173"/>
      <c r="B98" s="173"/>
      <c r="C98" s="173"/>
      <c r="D98" s="6" t="s">
        <v>58</v>
      </c>
      <c r="E98" s="167">
        <f>SUM(E11+E33+E49+E53+E63+E69+E87+E93)</f>
        <v>648520045</v>
      </c>
      <c r="F98" s="167">
        <f>SUM(F11+F33+F49+F53+F63+F69+F87+F93)</f>
        <v>10647660.760000002</v>
      </c>
      <c r="G98" s="167">
        <f>SUM(G11+G33+G49+G53+G63+G69+G87+G93)</f>
        <v>4830576.76</v>
      </c>
      <c r="H98" s="167">
        <f>SUM(H11+H33+H49+H53+H63+H69+H87+H93)</f>
        <v>7061788</v>
      </c>
      <c r="I98" s="8">
        <f t="shared" si="17"/>
        <v>659167705.75999999</v>
      </c>
      <c r="J98" s="167">
        <f t="shared" ref="J98:O98" si="21">SUM(J11+J33+J49+J53+J63+J69+J87+J93)</f>
        <v>105965000</v>
      </c>
      <c r="K98" s="167">
        <f t="shared" si="21"/>
        <v>35738327</v>
      </c>
      <c r="L98" s="167">
        <f t="shared" si="21"/>
        <v>758247</v>
      </c>
      <c r="M98" s="167">
        <f t="shared" si="21"/>
        <v>34234080</v>
      </c>
      <c r="N98" s="167">
        <f t="shared" si="21"/>
        <v>32434720</v>
      </c>
      <c r="O98" s="167">
        <f t="shared" si="21"/>
        <v>141703327</v>
      </c>
      <c r="P98" s="8">
        <f t="shared" si="19"/>
        <v>800871032.75999999</v>
      </c>
    </row>
    <row r="99" spans="1:19" x14ac:dyDescent="0.25">
      <c r="E99" s="85"/>
    </row>
    <row r="100" spans="1:19" x14ac:dyDescent="0.25"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9" ht="18.75" x14ac:dyDescent="0.3">
      <c r="B101" s="27" t="s">
        <v>230</v>
      </c>
      <c r="F101" s="35"/>
      <c r="G101" s="60"/>
      <c r="K101" s="27" t="s">
        <v>231</v>
      </c>
      <c r="P101" s="244"/>
      <c r="S101" s="35"/>
    </row>
    <row r="102" spans="1:19" x14ac:dyDescent="0.25">
      <c r="G102" s="35"/>
      <c r="O102" s="60"/>
      <c r="P102" s="244"/>
    </row>
    <row r="103" spans="1:19" x14ac:dyDescent="0.25">
      <c r="F103" s="35"/>
      <c r="P103" s="244"/>
    </row>
    <row r="104" spans="1:19" x14ac:dyDescent="0.25">
      <c r="F104" s="35"/>
      <c r="K104" s="35"/>
      <c r="P104" s="244"/>
      <c r="S104" s="35"/>
    </row>
    <row r="105" spans="1:19" x14ac:dyDescent="0.25">
      <c r="F105" s="35"/>
      <c r="P105" s="244"/>
    </row>
    <row r="106" spans="1:19" x14ac:dyDescent="0.25">
      <c r="O106" s="60"/>
      <c r="P106" s="244"/>
    </row>
    <row r="107" spans="1:19" x14ac:dyDescent="0.25">
      <c r="O107" s="35"/>
    </row>
  </sheetData>
  <mergeCells count="19">
    <mergeCell ref="M8:M9"/>
    <mergeCell ref="E7:E9"/>
    <mergeCell ref="F7:H7"/>
    <mergeCell ref="I7:I9"/>
    <mergeCell ref="F8:F9"/>
    <mergeCell ref="G8:H8"/>
    <mergeCell ref="A3:P3"/>
    <mergeCell ref="E6:I6"/>
    <mergeCell ref="J6:O6"/>
    <mergeCell ref="P6:P9"/>
    <mergeCell ref="D6:D9"/>
    <mergeCell ref="C6:C9"/>
    <mergeCell ref="B6:B9"/>
    <mergeCell ref="A6:A9"/>
    <mergeCell ref="J7:J9"/>
    <mergeCell ref="K7:N7"/>
    <mergeCell ref="O7:O9"/>
    <mergeCell ref="K8:K9"/>
    <mergeCell ref="L8:L9"/>
  </mergeCells>
  <pageMargins left="0.70866141732283472" right="0.31496062992125984" top="0.55118110236220474" bottom="0.55118110236220474" header="0.11811023622047245" footer="0.11811023622047245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topLeftCell="A55" workbookViewId="0">
      <selection activeCell="C62" sqref="C62"/>
    </sheetView>
  </sheetViews>
  <sheetFormatPr defaultRowHeight="15" x14ac:dyDescent="0.25"/>
  <cols>
    <col min="1" max="1" width="14.85546875" customWidth="1"/>
    <col min="2" max="2" width="13.7109375" customWidth="1"/>
    <col min="3" max="3" width="78" customWidth="1"/>
    <col min="4" max="4" width="15.28515625" customWidth="1"/>
    <col min="5" max="5" width="12.7109375" customWidth="1"/>
    <col min="6" max="6" width="13.28515625" customWidth="1"/>
  </cols>
  <sheetData>
    <row r="1" spans="1:4" ht="18.75" x14ac:dyDescent="0.25">
      <c r="A1" s="28"/>
      <c r="B1" s="311" t="s">
        <v>387</v>
      </c>
      <c r="C1" s="311"/>
      <c r="D1" s="311"/>
    </row>
    <row r="2" spans="1:4" ht="18.75" x14ac:dyDescent="0.25">
      <c r="A2" s="1"/>
      <c r="B2" s="312" t="s">
        <v>544</v>
      </c>
      <c r="C2" s="312"/>
      <c r="D2" s="312"/>
    </row>
    <row r="3" spans="1:4" ht="18.75" x14ac:dyDescent="0.25">
      <c r="A3" s="29"/>
      <c r="B3" s="26"/>
      <c r="C3" s="26"/>
    </row>
    <row r="4" spans="1:4" ht="18.75" x14ac:dyDescent="0.25">
      <c r="A4" s="303" t="s">
        <v>358</v>
      </c>
      <c r="B4" s="303"/>
      <c r="C4" s="303"/>
      <c r="D4" s="303"/>
    </row>
    <row r="5" spans="1:4" ht="18.75" x14ac:dyDescent="0.3">
      <c r="A5" s="304" t="s">
        <v>359</v>
      </c>
      <c r="B5" s="304"/>
      <c r="C5" s="304"/>
      <c r="D5" s="304"/>
    </row>
    <row r="6" spans="1:4" ht="18.75" x14ac:dyDescent="0.25">
      <c r="A6" s="29"/>
      <c r="B6" s="26"/>
      <c r="C6" s="26"/>
    </row>
    <row r="7" spans="1:4" ht="15.75" x14ac:dyDescent="0.25">
      <c r="A7" s="302" t="s">
        <v>314</v>
      </c>
      <c r="B7" s="302"/>
      <c r="C7" s="302"/>
    </row>
    <row r="8" spans="1:4" ht="15.75" x14ac:dyDescent="0.25">
      <c r="A8" s="69" t="s">
        <v>333</v>
      </c>
      <c r="B8" s="26"/>
      <c r="C8" s="26"/>
    </row>
    <row r="9" spans="1:4" ht="15.75" x14ac:dyDescent="0.25">
      <c r="A9" s="26"/>
      <c r="B9" s="26"/>
      <c r="C9" s="65"/>
      <c r="D9" s="241" t="s">
        <v>137</v>
      </c>
    </row>
    <row r="10" spans="1:4" ht="40.5" customHeight="1" x14ac:dyDescent="0.25">
      <c r="A10" s="100" t="s">
        <v>315</v>
      </c>
      <c r="B10" s="261" t="s">
        <v>316</v>
      </c>
      <c r="C10" s="261"/>
      <c r="D10" s="100" t="s">
        <v>6</v>
      </c>
    </row>
    <row r="11" spans="1:4" ht="15.75" x14ac:dyDescent="0.25">
      <c r="A11" s="70">
        <v>1</v>
      </c>
      <c r="B11" s="305">
        <v>2</v>
      </c>
      <c r="C11" s="305"/>
      <c r="D11" s="70">
        <v>3</v>
      </c>
    </row>
    <row r="12" spans="1:4" x14ac:dyDescent="0.25">
      <c r="A12" s="291" t="s">
        <v>317</v>
      </c>
      <c r="B12" s="291"/>
      <c r="C12" s="291"/>
      <c r="D12" s="291"/>
    </row>
    <row r="13" spans="1:4" x14ac:dyDescent="0.25">
      <c r="A13" s="71">
        <v>41030000</v>
      </c>
      <c r="B13" s="292" t="s">
        <v>127</v>
      </c>
      <c r="C13" s="292"/>
      <c r="D13" s="14">
        <f>SUM(D17+D16+D15+D14)</f>
        <v>142342200</v>
      </c>
    </row>
    <row r="14" spans="1:4" x14ac:dyDescent="0.25">
      <c r="A14" s="21">
        <v>41033900</v>
      </c>
      <c r="B14" s="293" t="s">
        <v>128</v>
      </c>
      <c r="C14" s="293"/>
      <c r="D14" s="17">
        <v>129546700</v>
      </c>
    </row>
    <row r="15" spans="1:4" ht="25.5" customHeight="1" x14ac:dyDescent="0.25">
      <c r="A15" s="21">
        <v>41035400</v>
      </c>
      <c r="B15" s="294" t="s">
        <v>363</v>
      </c>
      <c r="C15" s="295"/>
      <c r="D15" s="17">
        <v>839300</v>
      </c>
    </row>
    <row r="16" spans="1:4" ht="25.5" customHeight="1" x14ac:dyDescent="0.25">
      <c r="A16" s="21">
        <v>41036000</v>
      </c>
      <c r="B16" s="294" t="s">
        <v>361</v>
      </c>
      <c r="C16" s="295"/>
      <c r="D16" s="17">
        <v>2451400</v>
      </c>
    </row>
    <row r="17" spans="1:4" ht="27" customHeight="1" x14ac:dyDescent="0.25">
      <c r="A17" s="21">
        <v>41036300</v>
      </c>
      <c r="B17" s="294" t="s">
        <v>362</v>
      </c>
      <c r="C17" s="295"/>
      <c r="D17" s="17">
        <v>9504800</v>
      </c>
    </row>
    <row r="18" spans="1:4" x14ac:dyDescent="0.25">
      <c r="A18" s="72">
        <v>41050000</v>
      </c>
      <c r="B18" s="299" t="s">
        <v>129</v>
      </c>
      <c r="C18" s="299"/>
      <c r="D18" s="13">
        <f>SUM(D19+D20+D21+D22+D24+D25)</f>
        <v>2614962.7599999998</v>
      </c>
    </row>
    <row r="19" spans="1:4" ht="28.5" customHeight="1" x14ac:dyDescent="0.25">
      <c r="A19" s="20">
        <v>41051000</v>
      </c>
      <c r="B19" s="300" t="s">
        <v>130</v>
      </c>
      <c r="C19" s="300"/>
      <c r="D19" s="19">
        <v>2026900</v>
      </c>
    </row>
    <row r="20" spans="1:4" ht="29.25" customHeight="1" x14ac:dyDescent="0.25">
      <c r="A20" s="20">
        <v>41053900</v>
      </c>
      <c r="B20" s="301" t="s">
        <v>318</v>
      </c>
      <c r="C20" s="301"/>
      <c r="D20" s="19">
        <v>13420</v>
      </c>
    </row>
    <row r="21" spans="1:4" ht="27" customHeight="1" x14ac:dyDescent="0.25">
      <c r="A21" s="20">
        <v>41053900</v>
      </c>
      <c r="B21" s="301" t="s">
        <v>319</v>
      </c>
      <c r="C21" s="301"/>
      <c r="D21" s="19">
        <v>56925</v>
      </c>
    </row>
    <row r="22" spans="1:4" x14ac:dyDescent="0.25">
      <c r="A22" s="20">
        <v>41053900</v>
      </c>
      <c r="B22" s="301" t="s">
        <v>320</v>
      </c>
      <c r="C22" s="301"/>
      <c r="D22" s="19">
        <v>72000</v>
      </c>
    </row>
    <row r="23" spans="1:4" x14ac:dyDescent="0.25">
      <c r="A23" s="296" t="s">
        <v>360</v>
      </c>
      <c r="B23" s="297"/>
      <c r="C23" s="297"/>
      <c r="D23" s="298"/>
    </row>
    <row r="24" spans="1:4" ht="27" customHeight="1" x14ac:dyDescent="0.25">
      <c r="A24" s="80">
        <v>41053900</v>
      </c>
      <c r="B24" s="309" t="s">
        <v>383</v>
      </c>
      <c r="C24" s="310"/>
      <c r="D24" s="119">
        <v>200000</v>
      </c>
    </row>
    <row r="25" spans="1:4" ht="40.5" customHeight="1" x14ac:dyDescent="0.25">
      <c r="A25" s="87">
        <v>41059300</v>
      </c>
      <c r="B25" s="309" t="s">
        <v>382</v>
      </c>
      <c r="C25" s="310"/>
      <c r="D25" s="119">
        <v>245717.76000000001</v>
      </c>
    </row>
    <row r="26" spans="1:4" x14ac:dyDescent="0.25">
      <c r="A26" s="299" t="s">
        <v>321</v>
      </c>
      <c r="B26" s="299"/>
      <c r="C26" s="299"/>
      <c r="D26" s="299"/>
    </row>
    <row r="27" spans="1:4" x14ac:dyDescent="0.25">
      <c r="A27" s="72">
        <v>41050000</v>
      </c>
      <c r="B27" s="299" t="s">
        <v>129</v>
      </c>
      <c r="C27" s="299"/>
      <c r="D27" s="118">
        <f>D28+D29</f>
        <v>950000</v>
      </c>
    </row>
    <row r="28" spans="1:4" ht="36" customHeight="1" x14ac:dyDescent="0.25">
      <c r="A28" s="80">
        <v>41053900</v>
      </c>
      <c r="B28" s="313" t="s">
        <v>384</v>
      </c>
      <c r="C28" s="314"/>
      <c r="D28" s="118">
        <f>350000-50000</f>
        <v>300000</v>
      </c>
    </row>
    <row r="29" spans="1:4" ht="27.75" customHeight="1" x14ac:dyDescent="0.25">
      <c r="A29" s="80">
        <v>41053900</v>
      </c>
      <c r="B29" s="313" t="s">
        <v>385</v>
      </c>
      <c r="C29" s="314"/>
      <c r="D29" s="118">
        <v>650000</v>
      </c>
    </row>
    <row r="30" spans="1:4" x14ac:dyDescent="0.25">
      <c r="A30" s="80" t="s">
        <v>232</v>
      </c>
      <c r="B30" s="315" t="s">
        <v>322</v>
      </c>
      <c r="C30" s="315"/>
      <c r="D30" s="13">
        <f>SUM(D31+D32)</f>
        <v>145907162.75999999</v>
      </c>
    </row>
    <row r="31" spans="1:4" x14ac:dyDescent="0.25">
      <c r="A31" s="80" t="s">
        <v>232</v>
      </c>
      <c r="B31" s="315" t="s">
        <v>323</v>
      </c>
      <c r="C31" s="315"/>
      <c r="D31" s="13">
        <f>SUM(D13+D18)</f>
        <v>144957162.75999999</v>
      </c>
    </row>
    <row r="32" spans="1:4" x14ac:dyDescent="0.25">
      <c r="A32" s="80" t="s">
        <v>232</v>
      </c>
      <c r="B32" s="315" t="s">
        <v>324</v>
      </c>
      <c r="C32" s="315"/>
      <c r="D32" s="13">
        <f>D27</f>
        <v>950000</v>
      </c>
    </row>
    <row r="33" spans="1:13" ht="9" customHeight="1" x14ac:dyDescent="0.25">
      <c r="A33" s="29"/>
      <c r="B33" s="26"/>
      <c r="C33" s="26"/>
    </row>
    <row r="34" spans="1:13" ht="15.75" x14ac:dyDescent="0.25">
      <c r="A34" s="317" t="s">
        <v>325</v>
      </c>
      <c r="B34" s="317"/>
      <c r="C34" s="317"/>
      <c r="D34" s="73"/>
    </row>
    <row r="35" spans="1:13" x14ac:dyDescent="0.25">
      <c r="A35" s="73"/>
      <c r="B35" s="73"/>
      <c r="C35" s="73"/>
      <c r="D35" s="74" t="s">
        <v>326</v>
      </c>
    </row>
    <row r="36" spans="1:13" ht="18.75" x14ac:dyDescent="0.3">
      <c r="A36" s="262" t="s">
        <v>327</v>
      </c>
      <c r="B36" s="262" t="s">
        <v>328</v>
      </c>
      <c r="C36" s="262" t="s">
        <v>329</v>
      </c>
      <c r="D36" s="262" t="s">
        <v>58</v>
      </c>
      <c r="M36" s="30"/>
    </row>
    <row r="37" spans="1:13" ht="66.75" customHeight="1" x14ac:dyDescent="0.25">
      <c r="A37" s="262"/>
      <c r="B37" s="262"/>
      <c r="C37" s="262"/>
      <c r="D37" s="262"/>
    </row>
    <row r="38" spans="1:13" x14ac:dyDescent="0.25">
      <c r="A38" s="31">
        <v>1</v>
      </c>
      <c r="B38" s="31">
        <v>2</v>
      </c>
      <c r="C38" s="31">
        <v>3</v>
      </c>
      <c r="D38" s="31">
        <v>4</v>
      </c>
    </row>
    <row r="39" spans="1:13" x14ac:dyDescent="0.25">
      <c r="A39" s="316" t="s">
        <v>330</v>
      </c>
      <c r="B39" s="316"/>
      <c r="C39" s="316"/>
      <c r="D39" s="316"/>
    </row>
    <row r="40" spans="1:13" x14ac:dyDescent="0.25">
      <c r="A40" s="306" t="s">
        <v>497</v>
      </c>
      <c r="B40" s="307"/>
      <c r="C40" s="308"/>
      <c r="D40" s="107">
        <f>D41+D43+D44+D45+D47</f>
        <v>6663700</v>
      </c>
    </row>
    <row r="41" spans="1:13" x14ac:dyDescent="0.25">
      <c r="A41" s="75" t="s">
        <v>244</v>
      </c>
      <c r="B41" s="81">
        <v>9110</v>
      </c>
      <c r="C41" s="76" t="s">
        <v>246</v>
      </c>
      <c r="D41" s="32">
        <v>5313700</v>
      </c>
    </row>
    <row r="42" spans="1:13" x14ac:dyDescent="0.25">
      <c r="A42" s="296" t="s">
        <v>360</v>
      </c>
      <c r="B42" s="297"/>
      <c r="C42" s="297"/>
      <c r="D42" s="298"/>
    </row>
    <row r="43" spans="1:13" ht="38.25" x14ac:dyDescent="0.25">
      <c r="A43" s="75" t="s">
        <v>474</v>
      </c>
      <c r="B43" s="81">
        <v>9800</v>
      </c>
      <c r="C43" s="151" t="s">
        <v>475</v>
      </c>
      <c r="D43" s="32">
        <v>500000</v>
      </c>
      <c r="F43" s="35"/>
    </row>
    <row r="44" spans="1:13" ht="30.75" customHeight="1" x14ac:dyDescent="0.25">
      <c r="A44" s="75" t="s">
        <v>474</v>
      </c>
      <c r="B44" s="81">
        <v>9800</v>
      </c>
      <c r="C44" s="152" t="s">
        <v>476</v>
      </c>
      <c r="D44" s="32">
        <v>250000</v>
      </c>
    </row>
    <row r="45" spans="1:13" ht="51" x14ac:dyDescent="0.25">
      <c r="A45" s="75" t="s">
        <v>474</v>
      </c>
      <c r="B45" s="81">
        <v>9800</v>
      </c>
      <c r="C45" s="153" t="s">
        <v>477</v>
      </c>
      <c r="D45" s="32">
        <v>100000</v>
      </c>
    </row>
    <row r="46" spans="1:13" ht="51" x14ac:dyDescent="0.25">
      <c r="A46" s="75" t="s">
        <v>474</v>
      </c>
      <c r="B46" s="81">
        <v>9800</v>
      </c>
      <c r="C46" s="153" t="s">
        <v>479</v>
      </c>
      <c r="D46" s="32">
        <v>400000</v>
      </c>
    </row>
    <row r="47" spans="1:13" ht="51" x14ac:dyDescent="0.25">
      <c r="A47" s="75" t="s">
        <v>474</v>
      </c>
      <c r="B47" s="81">
        <v>9800</v>
      </c>
      <c r="C47" s="153" t="s">
        <v>534</v>
      </c>
      <c r="D47" s="32">
        <v>500000</v>
      </c>
    </row>
    <row r="48" spans="1:13" x14ac:dyDescent="0.25">
      <c r="A48" s="316" t="s">
        <v>331</v>
      </c>
      <c r="B48" s="316"/>
      <c r="C48" s="316"/>
      <c r="D48" s="316"/>
    </row>
    <row r="49" spans="1:6" x14ac:dyDescent="0.25">
      <c r="A49" s="306" t="s">
        <v>497</v>
      </c>
      <c r="B49" s="307"/>
      <c r="C49" s="308"/>
      <c r="D49" s="154">
        <f>SUM(D50:D67)</f>
        <v>10040000</v>
      </c>
    </row>
    <row r="50" spans="1:6" ht="38.25" x14ac:dyDescent="0.25">
      <c r="A50" s="75" t="s">
        <v>464</v>
      </c>
      <c r="B50" s="156">
        <v>9770</v>
      </c>
      <c r="C50" s="153" t="s">
        <v>525</v>
      </c>
      <c r="D50" s="155">
        <v>700000</v>
      </c>
    </row>
    <row r="51" spans="1:6" ht="51" x14ac:dyDescent="0.25">
      <c r="A51" s="75" t="s">
        <v>464</v>
      </c>
      <c r="B51" s="156">
        <v>9770</v>
      </c>
      <c r="C51" s="153" t="s">
        <v>535</v>
      </c>
      <c r="D51" s="155">
        <v>1450000</v>
      </c>
    </row>
    <row r="52" spans="1:6" ht="25.5" x14ac:dyDescent="0.25">
      <c r="A52" s="75" t="s">
        <v>464</v>
      </c>
      <c r="B52" s="156">
        <v>9770</v>
      </c>
      <c r="C52" s="153" t="s">
        <v>526</v>
      </c>
      <c r="D52" s="155">
        <v>1540000</v>
      </c>
    </row>
    <row r="53" spans="1:6" ht="38.25" x14ac:dyDescent="0.25">
      <c r="A53" s="75" t="s">
        <v>465</v>
      </c>
      <c r="B53" s="156">
        <v>9770</v>
      </c>
      <c r="C53" s="153" t="s">
        <v>512</v>
      </c>
      <c r="D53" s="155">
        <v>300000</v>
      </c>
      <c r="F53" s="35"/>
    </row>
    <row r="54" spans="1:6" ht="63.75" x14ac:dyDescent="0.25">
      <c r="A54" s="75" t="s">
        <v>474</v>
      </c>
      <c r="B54" s="156">
        <v>9800</v>
      </c>
      <c r="C54" s="153" t="s">
        <v>494</v>
      </c>
      <c r="D54" s="155">
        <v>300000</v>
      </c>
      <c r="F54" s="35"/>
    </row>
    <row r="55" spans="1:6" ht="63.75" x14ac:dyDescent="0.25">
      <c r="A55" s="75" t="s">
        <v>474</v>
      </c>
      <c r="B55" s="156">
        <v>9800</v>
      </c>
      <c r="C55" s="152" t="s">
        <v>493</v>
      </c>
      <c r="D55" s="155">
        <v>150000</v>
      </c>
      <c r="F55" s="35"/>
    </row>
    <row r="56" spans="1:6" ht="51" x14ac:dyDescent="0.25">
      <c r="A56" s="75" t="s">
        <v>474</v>
      </c>
      <c r="B56" s="156">
        <v>9800</v>
      </c>
      <c r="C56" s="153" t="s">
        <v>478</v>
      </c>
      <c r="D56" s="155">
        <v>250000</v>
      </c>
      <c r="F56" s="35"/>
    </row>
    <row r="57" spans="1:6" ht="51" x14ac:dyDescent="0.25">
      <c r="A57" s="75" t="s">
        <v>474</v>
      </c>
      <c r="B57" s="156">
        <v>9800</v>
      </c>
      <c r="C57" s="153" t="s">
        <v>480</v>
      </c>
      <c r="D57" s="155">
        <v>350000</v>
      </c>
    </row>
    <row r="58" spans="1:6" ht="51" x14ac:dyDescent="0.25">
      <c r="A58" s="75" t="s">
        <v>474</v>
      </c>
      <c r="B58" s="156">
        <v>9800</v>
      </c>
      <c r="C58" s="153" t="s">
        <v>481</v>
      </c>
      <c r="D58" s="155">
        <v>500000</v>
      </c>
    </row>
    <row r="59" spans="1:6" ht="51" x14ac:dyDescent="0.25">
      <c r="A59" s="75" t="s">
        <v>474</v>
      </c>
      <c r="B59" s="156">
        <v>9800</v>
      </c>
      <c r="C59" s="153" t="s">
        <v>482</v>
      </c>
      <c r="D59" s="155">
        <v>500000</v>
      </c>
    </row>
    <row r="60" spans="1:6" ht="51" x14ac:dyDescent="0.25">
      <c r="A60" s="75" t="s">
        <v>474</v>
      </c>
      <c r="B60" s="156">
        <v>9800</v>
      </c>
      <c r="C60" s="153" t="s">
        <v>545</v>
      </c>
      <c r="D60" s="155">
        <v>500000</v>
      </c>
    </row>
    <row r="61" spans="1:6" ht="51" x14ac:dyDescent="0.25">
      <c r="A61" s="75" t="s">
        <v>474</v>
      </c>
      <c r="B61" s="156">
        <v>9800</v>
      </c>
      <c r="C61" s="153" t="s">
        <v>546</v>
      </c>
      <c r="D61" s="155">
        <v>500000</v>
      </c>
    </row>
    <row r="62" spans="1:6" ht="51" x14ac:dyDescent="0.25">
      <c r="A62" s="75" t="s">
        <v>474</v>
      </c>
      <c r="B62" s="156">
        <v>9800</v>
      </c>
      <c r="C62" s="153" t="s">
        <v>547</v>
      </c>
      <c r="D62" s="155">
        <v>500000</v>
      </c>
    </row>
    <row r="63" spans="1:6" ht="51" x14ac:dyDescent="0.25">
      <c r="A63" s="75" t="s">
        <v>474</v>
      </c>
      <c r="B63" s="156">
        <v>9800</v>
      </c>
      <c r="C63" s="153" t="s">
        <v>548</v>
      </c>
      <c r="D63" s="155">
        <v>500000</v>
      </c>
    </row>
    <row r="64" spans="1:6" ht="51" customHeight="1" x14ac:dyDescent="0.25">
      <c r="A64" s="75" t="s">
        <v>474</v>
      </c>
      <c r="B64" s="156">
        <v>9800</v>
      </c>
      <c r="C64" s="153" t="s">
        <v>549</v>
      </c>
      <c r="D64" s="155">
        <v>500000</v>
      </c>
    </row>
    <row r="65" spans="1:4" ht="51" x14ac:dyDescent="0.25">
      <c r="A65" s="75" t="s">
        <v>474</v>
      </c>
      <c r="B65" s="156">
        <v>9800</v>
      </c>
      <c r="C65" s="153" t="s">
        <v>483</v>
      </c>
      <c r="D65" s="155">
        <v>500000</v>
      </c>
    </row>
    <row r="66" spans="1:4" ht="51" x14ac:dyDescent="0.25">
      <c r="A66" s="75" t="s">
        <v>474</v>
      </c>
      <c r="B66" s="156">
        <v>9800</v>
      </c>
      <c r="C66" s="153" t="s">
        <v>550</v>
      </c>
      <c r="D66" s="155">
        <v>500000</v>
      </c>
    </row>
    <row r="67" spans="1:4" ht="61.15" customHeight="1" x14ac:dyDescent="0.25">
      <c r="A67" s="75" t="s">
        <v>474</v>
      </c>
      <c r="B67" s="156">
        <v>9800</v>
      </c>
      <c r="C67" s="153" t="s">
        <v>488</v>
      </c>
      <c r="D67" s="155">
        <v>500000</v>
      </c>
    </row>
    <row r="68" spans="1:4" x14ac:dyDescent="0.25">
      <c r="A68" s="33" t="s">
        <v>232</v>
      </c>
      <c r="B68" s="33" t="s">
        <v>232</v>
      </c>
      <c r="C68" s="78" t="s">
        <v>332</v>
      </c>
      <c r="D68" s="79">
        <f>SUM(D69:D70)</f>
        <v>16703700</v>
      </c>
    </row>
    <row r="69" spans="1:4" x14ac:dyDescent="0.25">
      <c r="A69" s="33" t="s">
        <v>232</v>
      </c>
      <c r="B69" s="33" t="s">
        <v>232</v>
      </c>
      <c r="C69" s="78" t="s">
        <v>323</v>
      </c>
      <c r="D69" s="79">
        <f>SUM(D40)</f>
        <v>6663700</v>
      </c>
    </row>
    <row r="70" spans="1:4" x14ac:dyDescent="0.25">
      <c r="A70" s="33" t="s">
        <v>232</v>
      </c>
      <c r="B70" s="33" t="s">
        <v>232</v>
      </c>
      <c r="C70" s="78" t="s">
        <v>324</v>
      </c>
      <c r="D70" s="79">
        <f>SUM(D49)</f>
        <v>10040000</v>
      </c>
    </row>
    <row r="71" spans="1:4" x14ac:dyDescent="0.25">
      <c r="A71" s="66"/>
      <c r="B71" s="68"/>
      <c r="C71" s="67"/>
    </row>
    <row r="72" spans="1:4" ht="18.75" x14ac:dyDescent="0.3">
      <c r="A72" s="27" t="s">
        <v>233</v>
      </c>
      <c r="C72" s="27"/>
      <c r="D72" s="27"/>
    </row>
  </sheetData>
  <mergeCells count="38">
    <mergeCell ref="B1:D1"/>
    <mergeCell ref="B2:D2"/>
    <mergeCell ref="A49:C49"/>
    <mergeCell ref="A26:D26"/>
    <mergeCell ref="B29:C29"/>
    <mergeCell ref="B30:C30"/>
    <mergeCell ref="B31:C31"/>
    <mergeCell ref="B32:C32"/>
    <mergeCell ref="B27:C27"/>
    <mergeCell ref="B28:C28"/>
    <mergeCell ref="A39:D39"/>
    <mergeCell ref="A48:D48"/>
    <mergeCell ref="A34:C34"/>
    <mergeCell ref="A36:A37"/>
    <mergeCell ref="B36:B37"/>
    <mergeCell ref="C36:C37"/>
    <mergeCell ref="D36:D37"/>
    <mergeCell ref="A42:D42"/>
    <mergeCell ref="A40:C40"/>
    <mergeCell ref="B15:C15"/>
    <mergeCell ref="B16:C16"/>
    <mergeCell ref="B24:C24"/>
    <mergeCell ref="B25:C25"/>
    <mergeCell ref="A7:C7"/>
    <mergeCell ref="A4:D4"/>
    <mergeCell ref="A5:D5"/>
    <mergeCell ref="B10:C10"/>
    <mergeCell ref="B11:C11"/>
    <mergeCell ref="A12:D12"/>
    <mergeCell ref="B13:C13"/>
    <mergeCell ref="B14:C14"/>
    <mergeCell ref="B17:C17"/>
    <mergeCell ref="A23:D23"/>
    <mergeCell ref="B18:C18"/>
    <mergeCell ref="B19:C19"/>
    <mergeCell ref="B20:C20"/>
    <mergeCell ref="B21:C21"/>
    <mergeCell ref="B22:C22"/>
  </mergeCells>
  <pageMargins left="0.70866141732283472" right="0.31496062992125984" top="0.74803149606299213" bottom="0.55118110236220474" header="0.11811023622047245" footer="0.11811023622047245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7"/>
  <sheetViews>
    <sheetView tabSelected="1" topLeftCell="A25" zoomScale="120" zoomScaleNormal="120" workbookViewId="0">
      <selection activeCell="L32" sqref="L32"/>
    </sheetView>
  </sheetViews>
  <sheetFormatPr defaultRowHeight="15" x14ac:dyDescent="0.25"/>
  <cols>
    <col min="1" max="1" width="11.42578125" customWidth="1"/>
    <col min="2" max="2" width="10.7109375" customWidth="1"/>
    <col min="3" max="3" width="10.42578125" customWidth="1"/>
    <col min="4" max="4" width="30.42578125" customWidth="1"/>
    <col min="5" max="5" width="33" customWidth="1"/>
    <col min="6" max="6" width="11.140625" customWidth="1"/>
    <col min="7" max="7" width="12" customWidth="1"/>
    <col min="8" max="8" width="11.42578125" customWidth="1"/>
    <col min="9" max="9" width="10.28515625" customWidth="1"/>
    <col min="10" max="11" width="11.140625" customWidth="1"/>
    <col min="12" max="12" width="11.28515625" customWidth="1"/>
    <col min="13" max="14" width="11.140625" customWidth="1"/>
    <col min="16" max="16" width="13.85546875" customWidth="1"/>
  </cols>
  <sheetData>
    <row r="1" spans="1:18" ht="18.75" x14ac:dyDescent="0.3">
      <c r="G1" s="110"/>
      <c r="H1" s="110"/>
      <c r="I1" s="110"/>
      <c r="J1" s="110"/>
      <c r="K1" s="110" t="s">
        <v>388</v>
      </c>
      <c r="L1" s="110"/>
      <c r="M1" s="110"/>
      <c r="N1" s="110"/>
    </row>
    <row r="2" spans="1:18" ht="18.75" x14ac:dyDescent="0.3">
      <c r="G2" s="110"/>
      <c r="H2" s="110"/>
      <c r="I2" s="110"/>
      <c r="J2" s="110"/>
      <c r="K2" s="110" t="s">
        <v>543</v>
      </c>
      <c r="L2" s="110"/>
      <c r="M2" s="110"/>
      <c r="N2" s="110"/>
    </row>
    <row r="4" spans="1:18" x14ac:dyDescent="0.25">
      <c r="A4" s="2"/>
    </row>
    <row r="5" spans="1:18" ht="18.75" x14ac:dyDescent="0.25">
      <c r="A5" s="277" t="s">
        <v>368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114"/>
      <c r="P5" s="114"/>
      <c r="Q5" s="114"/>
      <c r="R5" s="114"/>
    </row>
    <row r="6" spans="1:18" ht="18.75" x14ac:dyDescent="0.3">
      <c r="A6" s="278" t="s">
        <v>369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115"/>
      <c r="P6" s="115"/>
      <c r="Q6" s="115"/>
      <c r="R6" s="115"/>
    </row>
    <row r="7" spans="1:18" x14ac:dyDescent="0.25">
      <c r="A7" s="3" t="s">
        <v>333</v>
      </c>
    </row>
    <row r="8" spans="1:18" ht="14.45" x14ac:dyDescent="0.3">
      <c r="A8" s="4"/>
    </row>
    <row r="9" spans="1:18" ht="18" customHeight="1" x14ac:dyDescent="0.25">
      <c r="A9" s="345" t="s">
        <v>0</v>
      </c>
      <c r="B9" s="345" t="s">
        <v>1</v>
      </c>
      <c r="C9" s="345" t="s">
        <v>2</v>
      </c>
      <c r="D9" s="342" t="s">
        <v>3</v>
      </c>
      <c r="E9" s="342" t="s">
        <v>4</v>
      </c>
      <c r="F9" s="342" t="s">
        <v>5</v>
      </c>
      <c r="G9" s="342" t="s">
        <v>6</v>
      </c>
      <c r="H9" s="341" t="s">
        <v>7</v>
      </c>
      <c r="I9" s="341"/>
      <c r="J9" s="341"/>
      <c r="K9" s="346" t="s">
        <v>8</v>
      </c>
      <c r="L9" s="346"/>
      <c r="M9" s="346"/>
      <c r="N9" s="346"/>
    </row>
    <row r="10" spans="1:18" ht="30" customHeight="1" x14ac:dyDescent="0.25">
      <c r="A10" s="345"/>
      <c r="B10" s="345"/>
      <c r="C10" s="345"/>
      <c r="D10" s="343"/>
      <c r="E10" s="343"/>
      <c r="F10" s="343"/>
      <c r="G10" s="343"/>
      <c r="H10" s="336" t="s">
        <v>338</v>
      </c>
      <c r="I10" s="336" t="s">
        <v>341</v>
      </c>
      <c r="J10" s="336" t="s">
        <v>337</v>
      </c>
      <c r="K10" s="336" t="s">
        <v>338</v>
      </c>
      <c r="L10" s="336" t="s">
        <v>341</v>
      </c>
      <c r="M10" s="116" t="s">
        <v>370</v>
      </c>
      <c r="N10" s="336" t="s">
        <v>337</v>
      </c>
    </row>
    <row r="11" spans="1:18" ht="31.5" customHeight="1" x14ac:dyDescent="0.25">
      <c r="A11" s="345"/>
      <c r="B11" s="345"/>
      <c r="C11" s="345"/>
      <c r="D11" s="344"/>
      <c r="E11" s="344"/>
      <c r="F11" s="344"/>
      <c r="G11" s="344"/>
      <c r="H11" s="337"/>
      <c r="I11" s="337"/>
      <c r="J11" s="337"/>
      <c r="K11" s="337"/>
      <c r="L11" s="337"/>
      <c r="M11" s="117" t="s">
        <v>10</v>
      </c>
      <c r="N11" s="337"/>
    </row>
    <row r="12" spans="1:18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</row>
    <row r="13" spans="1:18" x14ac:dyDescent="0.25">
      <c r="A13" s="160" t="s">
        <v>153</v>
      </c>
      <c r="B13" s="6"/>
      <c r="C13" s="6"/>
      <c r="D13" s="80" t="s">
        <v>11</v>
      </c>
      <c r="E13" s="80"/>
      <c r="F13" s="7"/>
      <c r="G13" s="8">
        <f>SUM(J13+N13)</f>
        <v>76741646.049999997</v>
      </c>
      <c r="H13" s="8">
        <f t="shared" ref="H13:N13" si="0">SUM(H14:H45)</f>
        <v>54081282</v>
      </c>
      <c r="I13" s="8">
        <f t="shared" si="0"/>
        <v>-7541482.9499999993</v>
      </c>
      <c r="J13" s="8">
        <f t="shared" si="0"/>
        <v>46539799.049999997</v>
      </c>
      <c r="K13" s="8">
        <f t="shared" si="0"/>
        <v>21838600</v>
      </c>
      <c r="L13" s="8">
        <f t="shared" si="0"/>
        <v>9563247</v>
      </c>
      <c r="M13" s="8">
        <f t="shared" si="0"/>
        <v>8805000</v>
      </c>
      <c r="N13" s="8">
        <f t="shared" si="0"/>
        <v>30201847</v>
      </c>
    </row>
    <row r="14" spans="1:18" ht="67.5" x14ac:dyDescent="0.25">
      <c r="A14" s="24" t="s">
        <v>154</v>
      </c>
      <c r="B14" s="24" t="s">
        <v>155</v>
      </c>
      <c r="C14" s="24" t="s">
        <v>156</v>
      </c>
      <c r="D14" s="163" t="s">
        <v>157</v>
      </c>
      <c r="E14" s="43" t="s">
        <v>291</v>
      </c>
      <c r="F14" s="44" t="s">
        <v>290</v>
      </c>
      <c r="G14" s="8">
        <f t="shared" ref="G14:G112" si="1">SUM(J14+N14)</f>
        <v>20000</v>
      </c>
      <c r="H14" s="46"/>
      <c r="I14" s="45">
        <v>20000</v>
      </c>
      <c r="J14" s="46">
        <f>SUM(H14:I14)</f>
        <v>20000</v>
      </c>
      <c r="K14" s="46"/>
      <c r="L14" s="45"/>
      <c r="M14" s="46"/>
      <c r="N14" s="46">
        <f>SUM(K14:L14)</f>
        <v>0</v>
      </c>
    </row>
    <row r="15" spans="1:18" ht="33.75" x14ac:dyDescent="0.25">
      <c r="A15" s="40">
        <v>110180</v>
      </c>
      <c r="B15" s="41">
        <v>180</v>
      </c>
      <c r="C15" s="42">
        <v>133</v>
      </c>
      <c r="D15" s="43" t="s">
        <v>161</v>
      </c>
      <c r="E15" s="43" t="s">
        <v>293</v>
      </c>
      <c r="F15" s="44" t="s">
        <v>292</v>
      </c>
      <c r="G15" s="8">
        <f t="shared" ref="G15" si="2">SUM(J15+N15)</f>
        <v>1404000</v>
      </c>
      <c r="H15" s="46">
        <v>1034000</v>
      </c>
      <c r="I15" s="45">
        <f>100000+70000</f>
        <v>170000</v>
      </c>
      <c r="J15" s="46">
        <f>SUM(H15:I15)</f>
        <v>1204000</v>
      </c>
      <c r="K15" s="46">
        <v>500000</v>
      </c>
      <c r="L15" s="45">
        <v>-300000</v>
      </c>
      <c r="M15" s="46">
        <v>-300000</v>
      </c>
      <c r="N15" s="46">
        <f>SUM(K15:L15)</f>
        <v>200000</v>
      </c>
    </row>
    <row r="16" spans="1:18" ht="33.75" x14ac:dyDescent="0.25">
      <c r="A16" s="224">
        <v>112111</v>
      </c>
      <c r="B16" s="225">
        <v>2111</v>
      </c>
      <c r="C16" s="42">
        <v>726</v>
      </c>
      <c r="D16" s="43" t="s">
        <v>42</v>
      </c>
      <c r="E16" s="43" t="s">
        <v>45</v>
      </c>
      <c r="F16" s="44" t="s">
        <v>46</v>
      </c>
      <c r="G16" s="8">
        <f t="shared" si="1"/>
        <v>1936213</v>
      </c>
      <c r="H16" s="46">
        <v>1671618</v>
      </c>
      <c r="I16" s="45">
        <f>264595</f>
        <v>264595</v>
      </c>
      <c r="J16" s="46">
        <f t="shared" ref="J16:J112" si="3">SUM(H16:I16)</f>
        <v>1936213</v>
      </c>
      <c r="K16" s="46"/>
      <c r="L16" s="45"/>
      <c r="M16" s="46"/>
      <c r="N16" s="46">
        <f>SUM(K16:L16)</f>
        <v>0</v>
      </c>
    </row>
    <row r="17" spans="1:16" ht="33.75" x14ac:dyDescent="0.25">
      <c r="A17" s="224">
        <v>112152</v>
      </c>
      <c r="B17" s="225">
        <v>2152</v>
      </c>
      <c r="C17" s="42">
        <v>763</v>
      </c>
      <c r="D17" s="43" t="s">
        <v>43</v>
      </c>
      <c r="E17" s="43" t="s">
        <v>45</v>
      </c>
      <c r="F17" s="44" t="s">
        <v>46</v>
      </c>
      <c r="G17" s="8">
        <f t="shared" si="1"/>
        <v>4308247</v>
      </c>
      <c r="H17" s="46">
        <f>350000+1850000</f>
        <v>2200000</v>
      </c>
      <c r="I17" s="45">
        <v>200000</v>
      </c>
      <c r="J17" s="46">
        <f t="shared" si="3"/>
        <v>2400000</v>
      </c>
      <c r="K17" s="46">
        <f>1000000+350000</f>
        <v>1350000</v>
      </c>
      <c r="L17" s="45">
        <f>758247-200000</f>
        <v>558247</v>
      </c>
      <c r="M17" s="46">
        <v>-200000</v>
      </c>
      <c r="N17" s="46">
        <f>SUM(K17:L17)</f>
        <v>1908247</v>
      </c>
      <c r="P17" s="35"/>
    </row>
    <row r="18" spans="1:16" ht="33.75" x14ac:dyDescent="0.25">
      <c r="A18" s="226" t="s">
        <v>250</v>
      </c>
      <c r="B18" s="226" t="s">
        <v>249</v>
      </c>
      <c r="C18" s="47" t="s">
        <v>248</v>
      </c>
      <c r="D18" s="43" t="s">
        <v>247</v>
      </c>
      <c r="E18" s="43" t="s">
        <v>334</v>
      </c>
      <c r="F18" s="44" t="s">
        <v>44</v>
      </c>
      <c r="G18" s="8">
        <f t="shared" si="1"/>
        <v>9207768</v>
      </c>
      <c r="H18" s="46">
        <v>8926768</v>
      </c>
      <c r="I18" s="45">
        <f>281000</f>
        <v>281000</v>
      </c>
      <c r="J18" s="46">
        <f t="shared" si="3"/>
        <v>9207768</v>
      </c>
      <c r="K18" s="46"/>
      <c r="L18" s="45"/>
      <c r="M18" s="46"/>
      <c r="N18" s="46">
        <f t="shared" ref="N18:N112" si="4">SUM(K18:L18)</f>
        <v>0</v>
      </c>
    </row>
    <row r="19" spans="1:16" ht="33.75" x14ac:dyDescent="0.25">
      <c r="A19" s="224">
        <v>112152</v>
      </c>
      <c r="B19" s="225">
        <v>2152</v>
      </c>
      <c r="C19" s="42">
        <v>763</v>
      </c>
      <c r="D19" s="43" t="s">
        <v>43</v>
      </c>
      <c r="E19" s="43" t="s">
        <v>334</v>
      </c>
      <c r="F19" s="44" t="s">
        <v>44</v>
      </c>
      <c r="G19" s="8">
        <f>SUM(J19+N19)</f>
        <v>7750000</v>
      </c>
      <c r="H19" s="46">
        <v>350000</v>
      </c>
      <c r="I19" s="45"/>
      <c r="J19" s="46">
        <f t="shared" si="3"/>
        <v>350000</v>
      </c>
      <c r="K19" s="46">
        <v>3500000</v>
      </c>
      <c r="L19" s="45">
        <f>950000+350640+1500000+849360+250000</f>
        <v>3900000</v>
      </c>
      <c r="M19" s="46">
        <f>950000+350640+1500000+849360+250000</f>
        <v>3900000</v>
      </c>
      <c r="N19" s="46">
        <f>SUM(K19:L19)</f>
        <v>7400000</v>
      </c>
    </row>
    <row r="20" spans="1:16" ht="33.75" x14ac:dyDescent="0.25">
      <c r="A20" s="11" t="s">
        <v>179</v>
      </c>
      <c r="B20" s="11">
        <v>3090</v>
      </c>
      <c r="C20" s="11">
        <v>1030</v>
      </c>
      <c r="D20" s="150" t="s">
        <v>180</v>
      </c>
      <c r="E20" s="48" t="s">
        <v>13</v>
      </c>
      <c r="F20" s="44" t="s">
        <v>14</v>
      </c>
      <c r="G20" s="8">
        <f t="shared" si="1"/>
        <v>500000</v>
      </c>
      <c r="H20" s="46">
        <v>500000</v>
      </c>
      <c r="I20" s="45"/>
      <c r="J20" s="46">
        <f t="shared" si="3"/>
        <v>500000</v>
      </c>
      <c r="K20" s="46"/>
      <c r="L20" s="45"/>
      <c r="M20" s="46"/>
      <c r="N20" s="46">
        <f t="shared" si="4"/>
        <v>0</v>
      </c>
    </row>
    <row r="21" spans="1:16" ht="33.75" x14ac:dyDescent="0.25">
      <c r="A21" s="226" t="s">
        <v>29</v>
      </c>
      <c r="B21" s="226">
        <v>3242</v>
      </c>
      <c r="C21" s="47">
        <v>1090</v>
      </c>
      <c r="D21" s="43" t="s">
        <v>12</v>
      </c>
      <c r="E21" s="84" t="s">
        <v>347</v>
      </c>
      <c r="F21" s="44" t="s">
        <v>14</v>
      </c>
      <c r="G21" s="8">
        <f t="shared" si="1"/>
        <v>11492000</v>
      </c>
      <c r="H21" s="46">
        <f>8779000-120000</f>
        <v>8659000</v>
      </c>
      <c r="I21" s="45">
        <v>2833000</v>
      </c>
      <c r="J21" s="46">
        <f t="shared" si="3"/>
        <v>11492000</v>
      </c>
      <c r="K21" s="46"/>
      <c r="L21" s="45"/>
      <c r="M21" s="46"/>
      <c r="N21" s="46">
        <f t="shared" si="4"/>
        <v>0</v>
      </c>
    </row>
    <row r="22" spans="1:16" ht="45" x14ac:dyDescent="0.25">
      <c r="A22" s="226" t="s">
        <v>29</v>
      </c>
      <c r="B22" s="226">
        <v>3242</v>
      </c>
      <c r="C22" s="47">
        <v>1090</v>
      </c>
      <c r="D22" s="43" t="s">
        <v>12</v>
      </c>
      <c r="E22" s="84" t="s">
        <v>348</v>
      </c>
      <c r="F22" s="44" t="s">
        <v>14</v>
      </c>
      <c r="G22" s="8">
        <f t="shared" si="1"/>
        <v>120000</v>
      </c>
      <c r="H22" s="46">
        <v>120000</v>
      </c>
      <c r="I22" s="45"/>
      <c r="J22" s="46">
        <f t="shared" si="3"/>
        <v>120000</v>
      </c>
      <c r="K22" s="46"/>
      <c r="L22" s="45"/>
      <c r="M22" s="46"/>
      <c r="N22" s="46">
        <f t="shared" si="4"/>
        <v>0</v>
      </c>
    </row>
    <row r="23" spans="1:16" ht="78.75" x14ac:dyDescent="0.25">
      <c r="A23" s="224">
        <v>113242</v>
      </c>
      <c r="B23" s="225">
        <v>3242</v>
      </c>
      <c r="C23" s="49">
        <v>1090</v>
      </c>
      <c r="D23" s="43" t="s">
        <v>47</v>
      </c>
      <c r="E23" s="43" t="s">
        <v>48</v>
      </c>
      <c r="F23" s="44" t="s">
        <v>49</v>
      </c>
      <c r="G23" s="8">
        <f t="shared" si="1"/>
        <v>500000</v>
      </c>
      <c r="H23" s="46">
        <v>500000</v>
      </c>
      <c r="I23" s="45"/>
      <c r="J23" s="46">
        <f t="shared" si="3"/>
        <v>500000</v>
      </c>
      <c r="K23" s="46"/>
      <c r="L23" s="45"/>
      <c r="M23" s="46"/>
      <c r="N23" s="46">
        <f t="shared" si="4"/>
        <v>0</v>
      </c>
    </row>
    <row r="24" spans="1:16" ht="33.75" x14ac:dyDescent="0.25">
      <c r="A24" s="224">
        <v>117350</v>
      </c>
      <c r="B24" s="225">
        <v>7350</v>
      </c>
      <c r="C24" s="42">
        <v>443</v>
      </c>
      <c r="D24" s="236" t="s">
        <v>188</v>
      </c>
      <c r="E24" s="48" t="s">
        <v>51</v>
      </c>
      <c r="F24" s="44" t="s">
        <v>52</v>
      </c>
      <c r="G24" s="8">
        <f t="shared" si="1"/>
        <v>804000</v>
      </c>
      <c r="H24" s="46">
        <v>100000</v>
      </c>
      <c r="I24" s="45">
        <v>104000</v>
      </c>
      <c r="J24" s="46">
        <f t="shared" si="3"/>
        <v>204000</v>
      </c>
      <c r="K24" s="46">
        <v>600000</v>
      </c>
      <c r="L24" s="45"/>
      <c r="M24" s="46"/>
      <c r="N24" s="46">
        <f t="shared" si="4"/>
        <v>600000</v>
      </c>
    </row>
    <row r="25" spans="1:16" ht="33.75" x14ac:dyDescent="0.25">
      <c r="A25" s="226" t="s">
        <v>30</v>
      </c>
      <c r="B25" s="226">
        <v>7370</v>
      </c>
      <c r="C25" s="47">
        <v>490</v>
      </c>
      <c r="D25" s="43" t="s">
        <v>15</v>
      </c>
      <c r="E25" s="48" t="s">
        <v>16</v>
      </c>
      <c r="F25" s="44" t="s">
        <v>17</v>
      </c>
      <c r="G25" s="8">
        <f t="shared" si="1"/>
        <v>250000</v>
      </c>
      <c r="H25" s="46">
        <v>450000</v>
      </c>
      <c r="I25" s="45">
        <v>-200000</v>
      </c>
      <c r="J25" s="46">
        <f t="shared" si="3"/>
        <v>250000</v>
      </c>
      <c r="K25" s="46"/>
      <c r="L25" s="45"/>
      <c r="M25" s="46"/>
      <c r="N25" s="46">
        <f t="shared" si="4"/>
        <v>0</v>
      </c>
      <c r="P25" s="35"/>
    </row>
    <row r="26" spans="1:16" ht="33.75" x14ac:dyDescent="0.25">
      <c r="A26" s="226" t="s">
        <v>30</v>
      </c>
      <c r="B26" s="226">
        <v>7370</v>
      </c>
      <c r="C26" s="47">
        <v>490</v>
      </c>
      <c r="D26" s="43" t="s">
        <v>15</v>
      </c>
      <c r="E26" s="48" t="s">
        <v>305</v>
      </c>
      <c r="F26" s="44" t="s">
        <v>306</v>
      </c>
      <c r="G26" s="8">
        <f t="shared" si="1"/>
        <v>500000</v>
      </c>
      <c r="H26" s="46">
        <v>500000</v>
      </c>
      <c r="I26" s="45"/>
      <c r="J26" s="46">
        <f t="shared" si="3"/>
        <v>500000</v>
      </c>
      <c r="K26" s="46"/>
      <c r="L26" s="45"/>
      <c r="M26" s="46"/>
      <c r="N26" s="46">
        <f t="shared" si="4"/>
        <v>0</v>
      </c>
    </row>
    <row r="27" spans="1:16" ht="45" x14ac:dyDescent="0.25">
      <c r="A27" s="226" t="s">
        <v>30</v>
      </c>
      <c r="B27" s="226">
        <v>7370</v>
      </c>
      <c r="C27" s="47">
        <v>490</v>
      </c>
      <c r="D27" s="43" t="s">
        <v>15</v>
      </c>
      <c r="E27" s="48" t="s">
        <v>520</v>
      </c>
      <c r="F27" s="330" t="s">
        <v>290</v>
      </c>
      <c r="G27" s="8">
        <f t="shared" si="1"/>
        <v>12218950</v>
      </c>
      <c r="H27" s="46">
        <v>20500000</v>
      </c>
      <c r="I27" s="45">
        <f>3500000-3747000-30000-250000-4452050-3302000</f>
        <v>-8281050</v>
      </c>
      <c r="J27" s="46">
        <f>SUM(H27:I27)</f>
        <v>12218950</v>
      </c>
      <c r="K27" s="46"/>
      <c r="L27" s="45"/>
      <c r="M27" s="46"/>
      <c r="N27" s="46">
        <f t="shared" si="4"/>
        <v>0</v>
      </c>
    </row>
    <row r="28" spans="1:16" ht="45" x14ac:dyDescent="0.25">
      <c r="A28" s="224">
        <v>112152</v>
      </c>
      <c r="B28" s="225">
        <v>2152</v>
      </c>
      <c r="C28" s="42">
        <v>763</v>
      </c>
      <c r="D28" s="43" t="s">
        <v>43</v>
      </c>
      <c r="E28" s="48" t="s">
        <v>542</v>
      </c>
      <c r="F28" s="331"/>
      <c r="G28" s="8">
        <f t="shared" si="1"/>
        <v>145000</v>
      </c>
      <c r="H28" s="46"/>
      <c r="I28" s="45"/>
      <c r="J28" s="46">
        <f t="shared" ref="J28:J29" si="5">SUM(H28:I28)</f>
        <v>0</v>
      </c>
      <c r="K28" s="46"/>
      <c r="L28" s="45">
        <f>145000</f>
        <v>145000</v>
      </c>
      <c r="M28" s="46">
        <f>145000</f>
        <v>145000</v>
      </c>
      <c r="N28" s="46">
        <f t="shared" si="4"/>
        <v>145000</v>
      </c>
    </row>
    <row r="29" spans="1:16" ht="45" x14ac:dyDescent="0.25">
      <c r="A29" s="224">
        <v>112152</v>
      </c>
      <c r="B29" s="225">
        <v>2152</v>
      </c>
      <c r="C29" s="42">
        <v>763</v>
      </c>
      <c r="D29" s="43" t="s">
        <v>43</v>
      </c>
      <c r="E29" s="48" t="s">
        <v>516</v>
      </c>
      <c r="F29" s="332"/>
      <c r="G29" s="8">
        <f>SUM(J29+N29)</f>
        <v>200000</v>
      </c>
      <c r="H29" s="46"/>
      <c r="I29" s="45"/>
      <c r="J29" s="46">
        <f t="shared" si="5"/>
        <v>0</v>
      </c>
      <c r="K29" s="46"/>
      <c r="L29" s="45">
        <f>50000+150000</f>
        <v>200000</v>
      </c>
      <c r="M29" s="46">
        <f>50000+150000</f>
        <v>200000</v>
      </c>
      <c r="N29" s="46">
        <f t="shared" si="4"/>
        <v>200000</v>
      </c>
    </row>
    <row r="30" spans="1:16" ht="33.75" x14ac:dyDescent="0.25">
      <c r="A30" s="226" t="s">
        <v>30</v>
      </c>
      <c r="B30" s="226">
        <v>7370</v>
      </c>
      <c r="C30" s="47">
        <v>490</v>
      </c>
      <c r="D30" s="43" t="s">
        <v>15</v>
      </c>
      <c r="E30" s="48" t="s">
        <v>18</v>
      </c>
      <c r="F30" s="44" t="s">
        <v>19</v>
      </c>
      <c r="G30" s="8">
        <f t="shared" si="1"/>
        <v>10453600</v>
      </c>
      <c r="H30" s="46">
        <v>1345000</v>
      </c>
      <c r="I30" s="45"/>
      <c r="J30" s="46">
        <f t="shared" si="3"/>
        <v>1345000</v>
      </c>
      <c r="K30" s="46">
        <v>9108600</v>
      </c>
      <c r="L30" s="45"/>
      <c r="M30" s="46"/>
      <c r="N30" s="46">
        <f t="shared" si="4"/>
        <v>9108600</v>
      </c>
    </row>
    <row r="31" spans="1:16" ht="22.5" x14ac:dyDescent="0.25">
      <c r="A31" s="224">
        <v>117370</v>
      </c>
      <c r="B31" s="225">
        <v>7370</v>
      </c>
      <c r="C31" s="42">
        <v>490</v>
      </c>
      <c r="D31" s="43" t="s">
        <v>15</v>
      </c>
      <c r="E31" s="327" t="s">
        <v>50</v>
      </c>
      <c r="F31" s="330" t="s">
        <v>35</v>
      </c>
      <c r="G31" s="8">
        <f t="shared" si="1"/>
        <v>5845000</v>
      </c>
      <c r="H31" s="223">
        <v>5335000</v>
      </c>
      <c r="I31" s="157">
        <f>-3900000-300000-500000</f>
        <v>-4700000</v>
      </c>
      <c r="J31" s="46">
        <f t="shared" si="3"/>
        <v>635000</v>
      </c>
      <c r="K31" s="46">
        <v>5000000</v>
      </c>
      <c r="L31" s="45">
        <v>210000</v>
      </c>
      <c r="M31" s="45">
        <v>210000</v>
      </c>
      <c r="N31" s="46">
        <f>SUM(K31:L31)</f>
        <v>5210000</v>
      </c>
    </row>
    <row r="32" spans="1:16" ht="45" x14ac:dyDescent="0.25">
      <c r="A32" s="120">
        <v>119800</v>
      </c>
      <c r="B32" s="121">
        <v>9800</v>
      </c>
      <c r="C32" s="145">
        <v>180</v>
      </c>
      <c r="D32" s="122" t="s">
        <v>451</v>
      </c>
      <c r="E32" s="329"/>
      <c r="F32" s="332"/>
      <c r="G32" s="8">
        <f t="shared" si="1"/>
        <v>6500000</v>
      </c>
      <c r="H32" s="50"/>
      <c r="I32" s="157">
        <f>400000+500000</f>
        <v>900000</v>
      </c>
      <c r="J32" s="46">
        <f t="shared" si="3"/>
        <v>900000</v>
      </c>
      <c r="K32" s="46"/>
      <c r="L32" s="45">
        <v>5600000</v>
      </c>
      <c r="M32" s="45">
        <v>5600000</v>
      </c>
      <c r="N32" s="46">
        <f t="shared" si="4"/>
        <v>5600000</v>
      </c>
    </row>
    <row r="33" spans="1:14" ht="33.75" x14ac:dyDescent="0.25">
      <c r="A33" s="226" t="s">
        <v>30</v>
      </c>
      <c r="B33" s="226">
        <v>7370</v>
      </c>
      <c r="C33" s="47">
        <v>490</v>
      </c>
      <c r="D33" s="43" t="s">
        <v>15</v>
      </c>
      <c r="E33" s="48" t="s">
        <v>20</v>
      </c>
      <c r="F33" s="44" t="s">
        <v>498</v>
      </c>
      <c r="G33" s="8">
        <f t="shared" si="1"/>
        <v>100000</v>
      </c>
      <c r="H33" s="46">
        <v>100000</v>
      </c>
      <c r="I33" s="45"/>
      <c r="J33" s="46">
        <f t="shared" si="3"/>
        <v>100000</v>
      </c>
      <c r="K33" s="46"/>
      <c r="L33" s="45"/>
      <c r="M33" s="46"/>
      <c r="N33" s="46">
        <f t="shared" si="4"/>
        <v>0</v>
      </c>
    </row>
    <row r="34" spans="1:14" ht="33.75" x14ac:dyDescent="0.25">
      <c r="A34" s="224">
        <v>117370</v>
      </c>
      <c r="B34" s="225">
        <v>7370</v>
      </c>
      <c r="C34" s="42">
        <v>490</v>
      </c>
      <c r="D34" s="43" t="s">
        <v>15</v>
      </c>
      <c r="E34" s="43" t="s">
        <v>286</v>
      </c>
      <c r="F34" s="44" t="s">
        <v>499</v>
      </c>
      <c r="G34" s="8">
        <f t="shared" si="1"/>
        <v>143124</v>
      </c>
      <c r="H34" s="46">
        <v>143124</v>
      </c>
      <c r="I34" s="45"/>
      <c r="J34" s="46">
        <f t="shared" si="3"/>
        <v>143124</v>
      </c>
      <c r="K34" s="46"/>
      <c r="L34" s="45"/>
      <c r="M34" s="46"/>
      <c r="N34" s="46">
        <f t="shared" si="4"/>
        <v>0</v>
      </c>
    </row>
    <row r="35" spans="1:14" ht="22.9" customHeight="1" x14ac:dyDescent="0.25">
      <c r="A35" s="120">
        <v>117640</v>
      </c>
      <c r="B35" s="121">
        <v>7640</v>
      </c>
      <c r="C35" s="51">
        <v>470</v>
      </c>
      <c r="D35" s="43" t="s">
        <v>256</v>
      </c>
      <c r="E35" s="327" t="s">
        <v>281</v>
      </c>
      <c r="F35" s="330" t="s">
        <v>500</v>
      </c>
      <c r="G35" s="8">
        <f t="shared" si="1"/>
        <v>-384000</v>
      </c>
      <c r="H35" s="46">
        <v>465000</v>
      </c>
      <c r="I35" s="45">
        <f>-97000-332000+200000</f>
        <v>-229000</v>
      </c>
      <c r="J35" s="46">
        <f t="shared" si="3"/>
        <v>236000</v>
      </c>
      <c r="K35" s="46">
        <v>1780000</v>
      </c>
      <c r="L35" s="45">
        <v>-1200000</v>
      </c>
      <c r="M35" s="46">
        <v>-1200000</v>
      </c>
      <c r="N35" s="46">
        <f>SUM(K35:M35)</f>
        <v>-620000</v>
      </c>
    </row>
    <row r="36" spans="1:14" ht="22.5" x14ac:dyDescent="0.25">
      <c r="A36" s="224">
        <v>112152</v>
      </c>
      <c r="B36" s="225">
        <v>2152</v>
      </c>
      <c r="C36" s="42">
        <v>763</v>
      </c>
      <c r="D36" s="43" t="s">
        <v>43</v>
      </c>
      <c r="E36" s="329"/>
      <c r="F36" s="332"/>
      <c r="G36" s="8">
        <f t="shared" si="1"/>
        <v>49000</v>
      </c>
      <c r="H36" s="46"/>
      <c r="I36" s="45">
        <v>49000</v>
      </c>
      <c r="J36" s="46">
        <f t="shared" si="3"/>
        <v>49000</v>
      </c>
      <c r="K36" s="46"/>
      <c r="L36" s="45"/>
      <c r="M36" s="46"/>
      <c r="N36" s="46">
        <f t="shared" si="4"/>
        <v>0</v>
      </c>
    </row>
    <row r="37" spans="1:14" ht="22.5" x14ac:dyDescent="0.25">
      <c r="A37" s="318">
        <v>117693</v>
      </c>
      <c r="B37" s="321">
        <v>7693</v>
      </c>
      <c r="C37" s="324">
        <v>490</v>
      </c>
      <c r="D37" s="327" t="s">
        <v>188</v>
      </c>
      <c r="E37" s="48" t="s">
        <v>294</v>
      </c>
      <c r="F37" s="330" t="s">
        <v>295</v>
      </c>
      <c r="G37" s="8">
        <f t="shared" ref="G37:G38" si="6">SUM(J37+N37)</f>
        <v>940107.05</v>
      </c>
      <c r="H37" s="46">
        <v>1181772</v>
      </c>
      <c r="I37" s="45">
        <f>-65561.51-22055.64-103027.95-51019.85</f>
        <v>-241664.94999999998</v>
      </c>
      <c r="J37" s="46">
        <f t="shared" ref="J37:J38" si="7">SUM(H37:I37)</f>
        <v>940107.05</v>
      </c>
      <c r="K37" s="46"/>
      <c r="L37" s="45"/>
      <c r="M37" s="46"/>
      <c r="N37" s="46">
        <f t="shared" si="4"/>
        <v>0</v>
      </c>
    </row>
    <row r="38" spans="1:14" ht="22.5" x14ac:dyDescent="0.25">
      <c r="A38" s="319"/>
      <c r="B38" s="322"/>
      <c r="C38" s="325"/>
      <c r="D38" s="328"/>
      <c r="E38" s="48" t="s">
        <v>515</v>
      </c>
      <c r="F38" s="331"/>
      <c r="G38" s="8">
        <f t="shared" si="6"/>
        <v>22055.64</v>
      </c>
      <c r="H38" s="46"/>
      <c r="I38" s="45">
        <v>22055.64</v>
      </c>
      <c r="J38" s="46">
        <f t="shared" si="7"/>
        <v>22055.64</v>
      </c>
      <c r="K38" s="46"/>
      <c r="L38" s="45"/>
      <c r="M38" s="46"/>
      <c r="N38" s="46">
        <f t="shared" si="4"/>
        <v>0</v>
      </c>
    </row>
    <row r="39" spans="1:14" ht="22.5" x14ac:dyDescent="0.25">
      <c r="A39" s="320"/>
      <c r="B39" s="323"/>
      <c r="C39" s="326"/>
      <c r="D39" s="329"/>
      <c r="E39" s="48" t="s">
        <v>446</v>
      </c>
      <c r="F39" s="332"/>
      <c r="G39" s="8">
        <f t="shared" ref="G39:G60" si="8">SUM(J39+N39)</f>
        <v>116581.35999999999</v>
      </c>
      <c r="H39" s="46"/>
      <c r="I39" s="45">
        <f>65561.51+51019.85</f>
        <v>116581.35999999999</v>
      </c>
      <c r="J39" s="46">
        <f t="shared" ref="J39:J45" si="9">SUM(H39:I39)</f>
        <v>116581.35999999999</v>
      </c>
      <c r="K39" s="46"/>
      <c r="L39" s="45"/>
      <c r="M39" s="46"/>
      <c r="N39" s="46">
        <f t="shared" ref="N39:N45" si="10">SUM(K39:L39)</f>
        <v>0</v>
      </c>
    </row>
    <row r="40" spans="1:14" ht="33.75" x14ac:dyDescent="0.25">
      <c r="A40" s="11" t="s">
        <v>462</v>
      </c>
      <c r="B40" s="11" t="s">
        <v>460</v>
      </c>
      <c r="C40" s="11" t="s">
        <v>461</v>
      </c>
      <c r="D40" s="62" t="s">
        <v>449</v>
      </c>
      <c r="E40" s="333" t="s">
        <v>469</v>
      </c>
      <c r="F40" s="336" t="s">
        <v>470</v>
      </c>
      <c r="G40" s="8">
        <f t="shared" si="8"/>
        <v>300000</v>
      </c>
      <c r="H40" s="46"/>
      <c r="I40" s="45">
        <v>300000</v>
      </c>
      <c r="J40" s="46">
        <f t="shared" si="9"/>
        <v>300000</v>
      </c>
      <c r="K40" s="46"/>
      <c r="L40" s="45"/>
      <c r="M40" s="46"/>
      <c r="N40" s="46">
        <f t="shared" si="10"/>
        <v>0</v>
      </c>
    </row>
    <row r="41" spans="1:14" ht="45" x14ac:dyDescent="0.25">
      <c r="A41" s="120">
        <v>119800</v>
      </c>
      <c r="B41" s="121">
        <v>9800</v>
      </c>
      <c r="C41" s="145">
        <v>180</v>
      </c>
      <c r="D41" s="122" t="s">
        <v>451</v>
      </c>
      <c r="E41" s="335"/>
      <c r="F41" s="337"/>
      <c r="G41" s="8">
        <f t="shared" si="8"/>
        <v>150000</v>
      </c>
      <c r="H41" s="46"/>
      <c r="I41" s="45"/>
      <c r="J41" s="46">
        <f t="shared" si="9"/>
        <v>0</v>
      </c>
      <c r="K41" s="46"/>
      <c r="L41" s="45">
        <v>150000</v>
      </c>
      <c r="M41" s="46">
        <v>150000</v>
      </c>
      <c r="N41" s="46">
        <f t="shared" si="10"/>
        <v>150000</v>
      </c>
    </row>
    <row r="42" spans="1:14" ht="45" x14ac:dyDescent="0.25">
      <c r="A42" s="120">
        <v>119800</v>
      </c>
      <c r="B42" s="121">
        <v>9800</v>
      </c>
      <c r="C42" s="145">
        <v>180</v>
      </c>
      <c r="D42" s="122" t="s">
        <v>451</v>
      </c>
      <c r="E42" s="43" t="s">
        <v>433</v>
      </c>
      <c r="F42" s="44" t="s">
        <v>528</v>
      </c>
      <c r="G42" s="8">
        <f t="shared" si="8"/>
        <v>500000</v>
      </c>
      <c r="H42" s="46"/>
      <c r="I42" s="45">
        <v>500000</v>
      </c>
      <c r="J42" s="46">
        <f t="shared" si="9"/>
        <v>500000</v>
      </c>
      <c r="K42" s="46"/>
      <c r="L42" s="45"/>
      <c r="M42" s="46"/>
      <c r="N42" s="46">
        <f t="shared" si="10"/>
        <v>0</v>
      </c>
    </row>
    <row r="43" spans="1:14" ht="45" x14ac:dyDescent="0.25">
      <c r="A43" s="120">
        <v>119800</v>
      </c>
      <c r="B43" s="121">
        <v>9800</v>
      </c>
      <c r="C43" s="145">
        <v>180</v>
      </c>
      <c r="D43" s="122" t="s">
        <v>451</v>
      </c>
      <c r="E43" s="150" t="s">
        <v>435</v>
      </c>
      <c r="F43" s="117" t="s">
        <v>471</v>
      </c>
      <c r="G43" s="8">
        <f t="shared" si="8"/>
        <v>250000</v>
      </c>
      <c r="H43" s="46"/>
      <c r="I43" s="45">
        <v>250000</v>
      </c>
      <c r="J43" s="46">
        <f t="shared" si="9"/>
        <v>250000</v>
      </c>
      <c r="K43" s="46"/>
      <c r="L43" s="45"/>
      <c r="M43" s="46"/>
      <c r="N43" s="46">
        <f t="shared" si="10"/>
        <v>0</v>
      </c>
    </row>
    <row r="44" spans="1:14" ht="45" x14ac:dyDescent="0.25">
      <c r="A44" s="120">
        <v>119800</v>
      </c>
      <c r="B44" s="121">
        <v>9800</v>
      </c>
      <c r="C44" s="145">
        <v>180</v>
      </c>
      <c r="D44" s="122" t="s">
        <v>451</v>
      </c>
      <c r="E44" s="150" t="s">
        <v>492</v>
      </c>
      <c r="F44" s="117"/>
      <c r="G44" s="8">
        <f t="shared" si="8"/>
        <v>300000</v>
      </c>
      <c r="H44" s="46"/>
      <c r="I44" s="45"/>
      <c r="J44" s="46">
        <f t="shared" si="9"/>
        <v>0</v>
      </c>
      <c r="K44" s="46"/>
      <c r="L44" s="45">
        <v>300000</v>
      </c>
      <c r="M44" s="46">
        <v>300000</v>
      </c>
      <c r="N44" s="46">
        <f t="shared" si="10"/>
        <v>300000</v>
      </c>
    </row>
    <row r="45" spans="1:14" ht="67.5" x14ac:dyDescent="0.25">
      <c r="A45" s="120">
        <v>119800</v>
      </c>
      <c r="B45" s="121">
        <v>9800</v>
      </c>
      <c r="C45" s="145">
        <v>180</v>
      </c>
      <c r="D45" s="84" t="s">
        <v>451</v>
      </c>
      <c r="E45" s="84" t="s">
        <v>473</v>
      </c>
      <c r="F45" s="117" t="s">
        <v>472</v>
      </c>
      <c r="G45" s="8">
        <f t="shared" si="8"/>
        <v>100000</v>
      </c>
      <c r="H45" s="46"/>
      <c r="I45" s="45">
        <v>100000</v>
      </c>
      <c r="J45" s="46">
        <f t="shared" si="9"/>
        <v>100000</v>
      </c>
      <c r="K45" s="46"/>
      <c r="L45" s="45"/>
      <c r="M45" s="46"/>
      <c r="N45" s="46">
        <f t="shared" si="10"/>
        <v>0</v>
      </c>
    </row>
    <row r="46" spans="1:14" x14ac:dyDescent="0.25">
      <c r="A46" s="227" t="s">
        <v>189</v>
      </c>
      <c r="B46" s="227"/>
      <c r="C46" s="52"/>
      <c r="D46" s="239" t="s">
        <v>21</v>
      </c>
      <c r="E46" s="53"/>
      <c r="F46" s="53"/>
      <c r="G46" s="8">
        <f t="shared" si="8"/>
        <v>7604000</v>
      </c>
      <c r="H46" s="45">
        <f t="shared" ref="H46:N46" si="11">SUM(H47:H56)</f>
        <v>966000</v>
      </c>
      <c r="I46" s="45">
        <f t="shared" si="11"/>
        <v>973000</v>
      </c>
      <c r="J46" s="45">
        <f t="shared" si="11"/>
        <v>1939000</v>
      </c>
      <c r="K46" s="45">
        <f t="shared" si="11"/>
        <v>0</v>
      </c>
      <c r="L46" s="45">
        <f t="shared" si="11"/>
        <v>5665000</v>
      </c>
      <c r="M46" s="45">
        <f t="shared" si="11"/>
        <v>5665000</v>
      </c>
      <c r="N46" s="45">
        <f t="shared" si="11"/>
        <v>5665000</v>
      </c>
    </row>
    <row r="47" spans="1:14" ht="33.75" x14ac:dyDescent="0.25">
      <c r="A47" s="11" t="s">
        <v>196</v>
      </c>
      <c r="B47" s="11">
        <v>1021</v>
      </c>
      <c r="C47" s="11" t="s">
        <v>197</v>
      </c>
      <c r="D47" s="237" t="s">
        <v>234</v>
      </c>
      <c r="E47" s="48" t="s">
        <v>281</v>
      </c>
      <c r="F47" s="44" t="s">
        <v>282</v>
      </c>
      <c r="G47" s="8">
        <f t="shared" si="8"/>
        <v>48000</v>
      </c>
      <c r="H47" s="45"/>
      <c r="I47" s="45">
        <v>48000</v>
      </c>
      <c r="J47" s="46">
        <f t="shared" si="3"/>
        <v>48000</v>
      </c>
      <c r="K47" s="45"/>
      <c r="L47" s="45"/>
      <c r="M47" s="46"/>
      <c r="N47" s="46">
        <f t="shared" si="4"/>
        <v>0</v>
      </c>
    </row>
    <row r="48" spans="1:14" ht="22.5" x14ac:dyDescent="0.25">
      <c r="A48" s="11" t="s">
        <v>193</v>
      </c>
      <c r="B48" s="11">
        <v>1010</v>
      </c>
      <c r="C48" s="11" t="s">
        <v>194</v>
      </c>
      <c r="D48" s="237" t="s">
        <v>195</v>
      </c>
      <c r="E48" s="330" t="s">
        <v>291</v>
      </c>
      <c r="F48" s="330" t="s">
        <v>529</v>
      </c>
      <c r="G48" s="8">
        <f t="shared" si="8"/>
        <v>150000</v>
      </c>
      <c r="H48" s="45"/>
      <c r="I48" s="45">
        <v>120000</v>
      </c>
      <c r="J48" s="46">
        <f t="shared" si="3"/>
        <v>120000</v>
      </c>
      <c r="K48" s="45"/>
      <c r="L48" s="45">
        <v>30000</v>
      </c>
      <c r="M48" s="46">
        <v>30000</v>
      </c>
      <c r="N48" s="46">
        <f t="shared" si="4"/>
        <v>30000</v>
      </c>
    </row>
    <row r="49" spans="1:14" ht="33.75" x14ac:dyDescent="0.25">
      <c r="A49" s="11" t="s">
        <v>196</v>
      </c>
      <c r="B49" s="11">
        <v>1021</v>
      </c>
      <c r="C49" s="11" t="s">
        <v>197</v>
      </c>
      <c r="D49" s="237" t="s">
        <v>234</v>
      </c>
      <c r="E49" s="331"/>
      <c r="F49" s="331"/>
      <c r="G49" s="8">
        <f t="shared" si="8"/>
        <v>445000</v>
      </c>
      <c r="H49" s="45"/>
      <c r="I49" s="45">
        <f>90000+20000</f>
        <v>110000</v>
      </c>
      <c r="J49" s="46">
        <f t="shared" si="3"/>
        <v>110000</v>
      </c>
      <c r="K49" s="45"/>
      <c r="L49" s="45">
        <f>150000+185000</f>
        <v>335000</v>
      </c>
      <c r="M49" s="46">
        <f>150000+185000</f>
        <v>335000</v>
      </c>
      <c r="N49" s="46">
        <f t="shared" si="4"/>
        <v>335000</v>
      </c>
    </row>
    <row r="50" spans="1:14" ht="33.75" x14ac:dyDescent="0.25">
      <c r="A50" s="24" t="s">
        <v>202</v>
      </c>
      <c r="B50" s="24">
        <v>1070</v>
      </c>
      <c r="C50" s="24" t="s">
        <v>203</v>
      </c>
      <c r="D50" s="163" t="s">
        <v>204</v>
      </c>
      <c r="E50" s="331"/>
      <c r="F50" s="331"/>
      <c r="G50" s="8">
        <f t="shared" si="8"/>
        <v>20000</v>
      </c>
      <c r="H50" s="45"/>
      <c r="I50" s="45">
        <v>20000</v>
      </c>
      <c r="J50" s="46">
        <f t="shared" si="3"/>
        <v>20000</v>
      </c>
      <c r="K50" s="45"/>
      <c r="L50" s="45"/>
      <c r="M50" s="46"/>
      <c r="N50" s="46">
        <f t="shared" si="4"/>
        <v>0</v>
      </c>
    </row>
    <row r="51" spans="1:14" x14ac:dyDescent="0.25">
      <c r="A51" s="24" t="s">
        <v>207</v>
      </c>
      <c r="B51" s="24">
        <v>1142</v>
      </c>
      <c r="C51" s="24" t="s">
        <v>163</v>
      </c>
      <c r="D51" s="163" t="s">
        <v>208</v>
      </c>
      <c r="E51" s="332"/>
      <c r="F51" s="332"/>
      <c r="G51" s="8">
        <f t="shared" si="8"/>
        <v>125000</v>
      </c>
      <c r="H51" s="45"/>
      <c r="I51" s="45">
        <v>125000</v>
      </c>
      <c r="J51" s="46">
        <f t="shared" si="3"/>
        <v>125000</v>
      </c>
      <c r="K51" s="45"/>
      <c r="L51" s="45"/>
      <c r="M51" s="46"/>
      <c r="N51" s="46">
        <f t="shared" si="4"/>
        <v>0</v>
      </c>
    </row>
    <row r="52" spans="1:14" ht="21" customHeight="1" x14ac:dyDescent="0.25">
      <c r="A52" s="11" t="s">
        <v>193</v>
      </c>
      <c r="B52" s="11">
        <v>1010</v>
      </c>
      <c r="C52" s="11" t="s">
        <v>194</v>
      </c>
      <c r="D52" s="237" t="s">
        <v>195</v>
      </c>
      <c r="E52" s="333" t="s">
        <v>469</v>
      </c>
      <c r="F52" s="330" t="s">
        <v>470</v>
      </c>
      <c r="G52" s="8">
        <f t="shared" si="8"/>
        <v>950000</v>
      </c>
      <c r="H52" s="45"/>
      <c r="I52" s="45">
        <v>450000</v>
      </c>
      <c r="J52" s="46">
        <f t="shared" si="3"/>
        <v>450000</v>
      </c>
      <c r="K52" s="45"/>
      <c r="L52" s="45">
        <v>500000</v>
      </c>
      <c r="M52" s="46">
        <v>500000</v>
      </c>
      <c r="N52" s="46">
        <f t="shared" si="4"/>
        <v>500000</v>
      </c>
    </row>
    <row r="53" spans="1:14" ht="33.75" x14ac:dyDescent="0.25">
      <c r="A53" s="11" t="s">
        <v>196</v>
      </c>
      <c r="B53" s="11">
        <v>1021</v>
      </c>
      <c r="C53" s="11" t="s">
        <v>197</v>
      </c>
      <c r="D53" s="237" t="s">
        <v>234</v>
      </c>
      <c r="E53" s="334"/>
      <c r="F53" s="331"/>
      <c r="G53" s="8">
        <f t="shared" si="8"/>
        <v>1550000</v>
      </c>
      <c r="H53" s="45"/>
      <c r="I53" s="45">
        <v>100000</v>
      </c>
      <c r="J53" s="46">
        <f t="shared" si="3"/>
        <v>100000</v>
      </c>
      <c r="K53" s="45"/>
      <c r="L53" s="45">
        <v>1450000</v>
      </c>
      <c r="M53" s="46">
        <v>1450000</v>
      </c>
      <c r="N53" s="46">
        <f t="shared" si="4"/>
        <v>1450000</v>
      </c>
    </row>
    <row r="54" spans="1:14" x14ac:dyDescent="0.25">
      <c r="A54" s="147" t="s">
        <v>464</v>
      </c>
      <c r="B54" s="121">
        <v>9770</v>
      </c>
      <c r="C54" s="145">
        <v>180</v>
      </c>
      <c r="D54" s="122" t="s">
        <v>452</v>
      </c>
      <c r="E54" s="335"/>
      <c r="F54" s="332"/>
      <c r="G54" s="8">
        <f t="shared" si="8"/>
        <v>2150000</v>
      </c>
      <c r="H54" s="45"/>
      <c r="I54" s="45"/>
      <c r="J54" s="46">
        <f t="shared" si="3"/>
        <v>0</v>
      </c>
      <c r="K54" s="45"/>
      <c r="L54" s="45">
        <f>700000+1450000</f>
        <v>2150000</v>
      </c>
      <c r="M54" s="46">
        <f>700000+1450000</f>
        <v>2150000</v>
      </c>
      <c r="N54" s="46">
        <f t="shared" si="4"/>
        <v>2150000</v>
      </c>
    </row>
    <row r="55" spans="1:14" ht="33.75" x14ac:dyDescent="0.25">
      <c r="A55" s="120">
        <v>617640</v>
      </c>
      <c r="B55" s="121">
        <v>7640</v>
      </c>
      <c r="C55" s="51">
        <v>470</v>
      </c>
      <c r="D55" s="43" t="s">
        <v>256</v>
      </c>
      <c r="E55" s="242" t="s">
        <v>281</v>
      </c>
      <c r="F55" s="59" t="s">
        <v>500</v>
      </c>
      <c r="G55" s="8">
        <f t="shared" si="8"/>
        <v>1200000</v>
      </c>
      <c r="H55" s="45"/>
      <c r="I55" s="45"/>
      <c r="J55" s="46">
        <f t="shared" si="3"/>
        <v>0</v>
      </c>
      <c r="K55" s="45"/>
      <c r="L55" s="45">
        <v>1200000</v>
      </c>
      <c r="M55" s="46">
        <v>1200000</v>
      </c>
      <c r="N55" s="46">
        <f t="shared" si="4"/>
        <v>1200000</v>
      </c>
    </row>
    <row r="56" spans="1:14" ht="33.75" x14ac:dyDescent="0.25">
      <c r="A56" s="147" t="s">
        <v>207</v>
      </c>
      <c r="B56" s="225">
        <v>1142</v>
      </c>
      <c r="C56" s="42">
        <v>990</v>
      </c>
      <c r="D56" s="43" t="s">
        <v>208</v>
      </c>
      <c r="E56" s="48" t="s">
        <v>285</v>
      </c>
      <c r="F56" s="44" t="s">
        <v>530</v>
      </c>
      <c r="G56" s="8">
        <f t="shared" si="8"/>
        <v>966000</v>
      </c>
      <c r="H56" s="46">
        <v>966000</v>
      </c>
      <c r="I56" s="45"/>
      <c r="J56" s="46">
        <f t="shared" si="3"/>
        <v>966000</v>
      </c>
      <c r="K56" s="46"/>
      <c r="L56" s="45"/>
      <c r="M56" s="46"/>
      <c r="N56" s="46">
        <f t="shared" si="4"/>
        <v>0</v>
      </c>
    </row>
    <row r="57" spans="1:14" x14ac:dyDescent="0.25">
      <c r="A57" s="228" t="s">
        <v>209</v>
      </c>
      <c r="B57" s="227"/>
      <c r="C57" s="55"/>
      <c r="D57" s="234" t="s">
        <v>22</v>
      </c>
      <c r="E57" s="234"/>
      <c r="F57" s="56"/>
      <c r="G57" s="8">
        <f t="shared" si="8"/>
        <v>1541420</v>
      </c>
      <c r="H57" s="57">
        <f>SUM(H58:H60)</f>
        <v>1541420</v>
      </c>
      <c r="I57" s="57">
        <f t="shared" ref="I57" si="12">SUM(I58:I60)</f>
        <v>0</v>
      </c>
      <c r="J57" s="57">
        <f t="shared" ref="J57" si="13">SUM(J58:J60)</f>
        <v>1541420</v>
      </c>
      <c r="K57" s="57">
        <f t="shared" ref="K57" si="14">SUM(K58:K60)</f>
        <v>0</v>
      </c>
      <c r="L57" s="57">
        <f t="shared" ref="L57" si="15">SUM(L58:L60)</f>
        <v>0</v>
      </c>
      <c r="M57" s="57">
        <f t="shared" ref="M57" si="16">SUM(M58:M60)</f>
        <v>0</v>
      </c>
      <c r="N57" s="57">
        <f t="shared" ref="N57" si="17">SUM(N58:N60)</f>
        <v>0</v>
      </c>
    </row>
    <row r="58" spans="1:14" ht="45" x14ac:dyDescent="0.25">
      <c r="A58" s="224">
        <v>913112</v>
      </c>
      <c r="B58" s="225">
        <v>3112</v>
      </c>
      <c r="C58" s="49">
        <v>1040</v>
      </c>
      <c r="D58" s="43" t="s">
        <v>31</v>
      </c>
      <c r="E58" s="43" t="s">
        <v>39</v>
      </c>
      <c r="F58" s="44" t="s">
        <v>531</v>
      </c>
      <c r="G58" s="8">
        <f t="shared" si="8"/>
        <v>504580</v>
      </c>
      <c r="H58" s="46">
        <v>504580</v>
      </c>
      <c r="I58" s="45"/>
      <c r="J58" s="46">
        <f t="shared" si="3"/>
        <v>504580</v>
      </c>
      <c r="K58" s="46"/>
      <c r="L58" s="45"/>
      <c r="M58" s="46"/>
      <c r="N58" s="46">
        <f t="shared" si="4"/>
        <v>0</v>
      </c>
    </row>
    <row r="59" spans="1:14" ht="78.75" x14ac:dyDescent="0.25">
      <c r="A59" s="224">
        <v>913112</v>
      </c>
      <c r="B59" s="225">
        <v>3112</v>
      </c>
      <c r="C59" s="49">
        <v>1040</v>
      </c>
      <c r="D59" s="43" t="s">
        <v>31</v>
      </c>
      <c r="E59" s="43" t="s">
        <v>36</v>
      </c>
      <c r="F59" s="44" t="s">
        <v>532</v>
      </c>
      <c r="G59" s="8">
        <f t="shared" si="8"/>
        <v>93000</v>
      </c>
      <c r="H59" s="46">
        <v>93000</v>
      </c>
      <c r="I59" s="45"/>
      <c r="J59" s="46">
        <f t="shared" si="3"/>
        <v>93000</v>
      </c>
      <c r="K59" s="46"/>
      <c r="L59" s="45"/>
      <c r="M59" s="46"/>
      <c r="N59" s="46">
        <f t="shared" si="4"/>
        <v>0</v>
      </c>
    </row>
    <row r="60" spans="1:14" ht="56.25" x14ac:dyDescent="0.25">
      <c r="A60" s="224">
        <v>913133</v>
      </c>
      <c r="B60" s="225">
        <v>3133</v>
      </c>
      <c r="C60" s="49">
        <v>1040</v>
      </c>
      <c r="D60" s="43" t="s">
        <v>501</v>
      </c>
      <c r="E60" s="43" t="s">
        <v>41</v>
      </c>
      <c r="F60" s="44" t="s">
        <v>40</v>
      </c>
      <c r="G60" s="8">
        <f t="shared" si="8"/>
        <v>943840</v>
      </c>
      <c r="H60" s="46">
        <v>943840</v>
      </c>
      <c r="I60" s="45"/>
      <c r="J60" s="46">
        <f>SUM(H60:I60)</f>
        <v>943840</v>
      </c>
      <c r="K60" s="46"/>
      <c r="L60" s="45"/>
      <c r="M60" s="46"/>
      <c r="N60" s="46">
        <f>SUM(K60:L60)</f>
        <v>0</v>
      </c>
    </row>
    <row r="61" spans="1:14" x14ac:dyDescent="0.25">
      <c r="A61" s="227">
        <v>10</v>
      </c>
      <c r="B61" s="227"/>
      <c r="C61" s="52"/>
      <c r="D61" s="235" t="s">
        <v>23</v>
      </c>
      <c r="E61" s="235"/>
      <c r="F61" s="53"/>
      <c r="G61" s="8">
        <f>SUM(J61+N61)</f>
        <v>890000</v>
      </c>
      <c r="H61" s="45">
        <f>SUM(H63:H66)</f>
        <v>400000</v>
      </c>
      <c r="I61" s="45">
        <f>SUM(I62:I66)</f>
        <v>152000</v>
      </c>
      <c r="J61" s="45">
        <f>SUM(J62:J66)</f>
        <v>552000</v>
      </c>
      <c r="K61" s="45">
        <f t="shared" ref="K61" si="18">SUM(K63:K66)</f>
        <v>0</v>
      </c>
      <c r="L61" s="45">
        <f>SUM(L62:L66)</f>
        <v>338000</v>
      </c>
      <c r="M61" s="45">
        <f>SUM(M62:M66)</f>
        <v>338000</v>
      </c>
      <c r="N61" s="45">
        <f t="shared" ref="N61:N67" si="19">SUM(K61:L61)</f>
        <v>338000</v>
      </c>
    </row>
    <row r="62" spans="1:14" x14ac:dyDescent="0.25">
      <c r="A62" s="24" t="s">
        <v>517</v>
      </c>
      <c r="B62" s="24">
        <v>4030</v>
      </c>
      <c r="C62" s="24" t="s">
        <v>214</v>
      </c>
      <c r="D62" s="150" t="s">
        <v>215</v>
      </c>
      <c r="E62" s="327" t="s">
        <v>291</v>
      </c>
      <c r="F62" s="330" t="s">
        <v>290</v>
      </c>
      <c r="G62" s="8">
        <f t="shared" ref="G62:G67" si="20">SUM(J62+N62)</f>
        <v>240000</v>
      </c>
      <c r="H62" s="45"/>
      <c r="I62" s="45">
        <f>10000+72000</f>
        <v>82000</v>
      </c>
      <c r="J62" s="46">
        <f t="shared" si="3"/>
        <v>82000</v>
      </c>
      <c r="K62" s="45"/>
      <c r="L62" s="45">
        <f>110000+48000</f>
        <v>158000</v>
      </c>
      <c r="M62" s="46">
        <f>110000+48000</f>
        <v>158000</v>
      </c>
      <c r="N62" s="46">
        <f t="shared" si="19"/>
        <v>158000</v>
      </c>
    </row>
    <row r="63" spans="1:14" ht="30" customHeight="1" x14ac:dyDescent="0.25">
      <c r="A63" s="11">
        <v>1014060</v>
      </c>
      <c r="B63" s="11">
        <v>4060</v>
      </c>
      <c r="C63" s="11" t="s">
        <v>217</v>
      </c>
      <c r="D63" s="150" t="s">
        <v>218</v>
      </c>
      <c r="E63" s="328"/>
      <c r="F63" s="331"/>
      <c r="G63" s="8">
        <f t="shared" si="20"/>
        <v>170000</v>
      </c>
      <c r="H63" s="45"/>
      <c r="I63" s="45">
        <v>40000</v>
      </c>
      <c r="J63" s="46">
        <f t="shared" si="3"/>
        <v>40000</v>
      </c>
      <c r="K63" s="45"/>
      <c r="L63" s="45">
        <f>30000+25000+75000</f>
        <v>130000</v>
      </c>
      <c r="M63" s="46">
        <f>30000+25000+75000</f>
        <v>130000</v>
      </c>
      <c r="N63" s="46">
        <f t="shared" si="19"/>
        <v>130000</v>
      </c>
    </row>
    <row r="64" spans="1:14" ht="24.6" customHeight="1" x14ac:dyDescent="0.25">
      <c r="A64" s="24">
        <v>1011080</v>
      </c>
      <c r="B64" s="24">
        <v>1080</v>
      </c>
      <c r="C64" s="24" t="s">
        <v>203</v>
      </c>
      <c r="D64" s="163" t="s">
        <v>213</v>
      </c>
      <c r="E64" s="329"/>
      <c r="F64" s="332"/>
      <c r="G64" s="8">
        <f t="shared" si="20"/>
        <v>30000</v>
      </c>
      <c r="H64" s="45"/>
      <c r="I64" s="45">
        <v>30000</v>
      </c>
      <c r="J64" s="46">
        <f t="shared" si="3"/>
        <v>30000</v>
      </c>
      <c r="K64" s="45"/>
      <c r="L64" s="45"/>
      <c r="M64" s="45"/>
      <c r="N64" s="46">
        <f t="shared" si="19"/>
        <v>0</v>
      </c>
    </row>
    <row r="65" spans="1:14" ht="33.75" x14ac:dyDescent="0.25">
      <c r="A65" s="222">
        <v>1014082</v>
      </c>
      <c r="B65" s="225">
        <v>4082</v>
      </c>
      <c r="C65" s="42">
        <v>829</v>
      </c>
      <c r="D65" s="43" t="s">
        <v>221</v>
      </c>
      <c r="E65" s="43" t="s">
        <v>310</v>
      </c>
      <c r="F65" s="44" t="s">
        <v>284</v>
      </c>
      <c r="G65" s="8">
        <f t="shared" si="20"/>
        <v>400000</v>
      </c>
      <c r="H65" s="46">
        <v>400000</v>
      </c>
      <c r="I65" s="45"/>
      <c r="J65" s="46">
        <f t="shared" si="3"/>
        <v>400000</v>
      </c>
      <c r="K65" s="46"/>
      <c r="L65" s="45"/>
      <c r="M65" s="46"/>
      <c r="N65" s="46">
        <f t="shared" si="19"/>
        <v>0</v>
      </c>
    </row>
    <row r="66" spans="1:14" ht="56.25" x14ac:dyDescent="0.25">
      <c r="A66" s="226" t="s">
        <v>489</v>
      </c>
      <c r="B66" s="226">
        <v>7370</v>
      </c>
      <c r="C66" s="47">
        <v>490</v>
      </c>
      <c r="D66" s="43" t="s">
        <v>15</v>
      </c>
      <c r="E66" s="48" t="s">
        <v>490</v>
      </c>
      <c r="F66" s="44" t="s">
        <v>533</v>
      </c>
      <c r="G66" s="8">
        <f t="shared" si="20"/>
        <v>50000</v>
      </c>
      <c r="H66" s="46"/>
      <c r="I66" s="45"/>
      <c r="J66" s="46">
        <f t="shared" si="3"/>
        <v>0</v>
      </c>
      <c r="K66" s="46"/>
      <c r="L66" s="45">
        <v>50000</v>
      </c>
      <c r="M66" s="46">
        <v>50000</v>
      </c>
      <c r="N66" s="46">
        <f t="shared" si="19"/>
        <v>50000</v>
      </c>
    </row>
    <row r="67" spans="1:14" ht="36.75" customHeight="1" x14ac:dyDescent="0.25">
      <c r="A67" s="120">
        <v>1017640</v>
      </c>
      <c r="B67" s="121">
        <v>7640</v>
      </c>
      <c r="C67" s="51">
        <v>470</v>
      </c>
      <c r="D67" s="43" t="s">
        <v>256</v>
      </c>
      <c r="E67" s="48" t="s">
        <v>281</v>
      </c>
      <c r="F67" s="44" t="s">
        <v>500</v>
      </c>
      <c r="G67" s="8">
        <f t="shared" si="20"/>
        <v>332000</v>
      </c>
      <c r="H67" s="46"/>
      <c r="I67" s="45"/>
      <c r="J67" s="46"/>
      <c r="K67" s="46"/>
      <c r="L67" s="45">
        <v>332000</v>
      </c>
      <c r="M67" s="45">
        <v>332000</v>
      </c>
      <c r="N67" s="45">
        <f t="shared" si="19"/>
        <v>332000</v>
      </c>
    </row>
    <row r="68" spans="1:14" ht="17.45" customHeight="1" x14ac:dyDescent="0.25">
      <c r="A68" s="227">
        <v>11</v>
      </c>
      <c r="B68" s="227"/>
      <c r="C68" s="52"/>
      <c r="D68" s="235" t="s">
        <v>412</v>
      </c>
      <c r="E68" s="235"/>
      <c r="F68" s="48"/>
      <c r="G68" s="8">
        <f t="shared" si="1"/>
        <v>4851050</v>
      </c>
      <c r="H68" s="45">
        <f>SUM(H69:H74)</f>
        <v>4128050</v>
      </c>
      <c r="I68" s="45">
        <f t="shared" ref="I68" si="21">SUM(I69:I74)</f>
        <v>513000</v>
      </c>
      <c r="J68" s="45">
        <f>SUM(J69:J74)</f>
        <v>4641050</v>
      </c>
      <c r="K68" s="45">
        <f t="shared" ref="K68" si="22">SUM(K69:K74)</f>
        <v>0</v>
      </c>
      <c r="L68" s="45">
        <f t="shared" ref="L68" si="23">SUM(L69:L74)</f>
        <v>210000</v>
      </c>
      <c r="M68" s="45">
        <f t="shared" ref="M68" si="24">SUM(M69:M74)</f>
        <v>210000</v>
      </c>
      <c r="N68" s="45">
        <f t="shared" ref="N68" si="25">SUM(N69:N74)</f>
        <v>210000</v>
      </c>
    </row>
    <row r="69" spans="1:14" ht="56.25" x14ac:dyDescent="0.25">
      <c r="A69" s="222">
        <v>1113133</v>
      </c>
      <c r="B69" s="225">
        <v>3133</v>
      </c>
      <c r="C69" s="49">
        <v>1040</v>
      </c>
      <c r="D69" s="43" t="s">
        <v>392</v>
      </c>
      <c r="E69" s="43" t="s">
        <v>37</v>
      </c>
      <c r="F69" s="44" t="s">
        <v>38</v>
      </c>
      <c r="G69" s="8">
        <f t="shared" si="1"/>
        <v>551850</v>
      </c>
      <c r="H69" s="46">
        <v>551850</v>
      </c>
      <c r="I69" s="45"/>
      <c r="J69" s="46">
        <f t="shared" si="3"/>
        <v>551850</v>
      </c>
      <c r="K69" s="46"/>
      <c r="L69" s="45"/>
      <c r="M69" s="46"/>
      <c r="N69" s="46">
        <f t="shared" si="4"/>
        <v>0</v>
      </c>
    </row>
    <row r="70" spans="1:14" ht="56.25" x14ac:dyDescent="0.25">
      <c r="A70" s="222">
        <v>1113133</v>
      </c>
      <c r="B70" s="225">
        <v>3133</v>
      </c>
      <c r="C70" s="49">
        <v>1040</v>
      </c>
      <c r="D70" s="43" t="s">
        <v>501</v>
      </c>
      <c r="E70" s="327" t="s">
        <v>291</v>
      </c>
      <c r="F70" s="330" t="s">
        <v>290</v>
      </c>
      <c r="G70" s="8">
        <f t="shared" si="1"/>
        <v>20000</v>
      </c>
      <c r="H70" s="46"/>
      <c r="I70" s="45">
        <v>20000</v>
      </c>
      <c r="J70" s="46">
        <f t="shared" si="3"/>
        <v>20000</v>
      </c>
      <c r="K70" s="46"/>
      <c r="L70" s="45"/>
      <c r="M70" s="46"/>
      <c r="N70" s="46">
        <f t="shared" si="4"/>
        <v>0</v>
      </c>
    </row>
    <row r="71" spans="1:14" ht="78.75" x14ac:dyDescent="0.25">
      <c r="A71" s="24">
        <v>1115031</v>
      </c>
      <c r="B71" s="24">
        <v>5031</v>
      </c>
      <c r="C71" s="24" t="s">
        <v>222</v>
      </c>
      <c r="D71" s="150" t="s">
        <v>502</v>
      </c>
      <c r="E71" s="328"/>
      <c r="F71" s="331"/>
      <c r="G71" s="8">
        <f t="shared" si="1"/>
        <v>420000</v>
      </c>
      <c r="H71" s="46"/>
      <c r="I71" s="45">
        <f>50000+120000+40000</f>
        <v>210000</v>
      </c>
      <c r="J71" s="46">
        <f t="shared" si="3"/>
        <v>210000</v>
      </c>
      <c r="K71" s="46"/>
      <c r="L71" s="45">
        <f>40000+170000</f>
        <v>210000</v>
      </c>
      <c r="M71" s="46">
        <f>40000+170000</f>
        <v>210000</v>
      </c>
      <c r="N71" s="46">
        <f t="shared" si="4"/>
        <v>210000</v>
      </c>
    </row>
    <row r="72" spans="1:14" ht="45" x14ac:dyDescent="0.25">
      <c r="A72" s="222">
        <v>1115061</v>
      </c>
      <c r="B72" s="225">
        <v>5061</v>
      </c>
      <c r="C72" s="42">
        <v>810</v>
      </c>
      <c r="D72" s="43" t="s">
        <v>32</v>
      </c>
      <c r="E72" s="329"/>
      <c r="F72" s="332"/>
      <c r="G72" s="8">
        <f t="shared" si="1"/>
        <v>283000</v>
      </c>
      <c r="H72" s="46"/>
      <c r="I72" s="45">
        <f>30000+30000+100000+123000</f>
        <v>283000</v>
      </c>
      <c r="J72" s="46">
        <f t="shared" si="3"/>
        <v>283000</v>
      </c>
      <c r="K72" s="46"/>
      <c r="L72" s="45"/>
      <c r="M72" s="46"/>
      <c r="N72" s="46">
        <f t="shared" si="4"/>
        <v>0</v>
      </c>
    </row>
    <row r="73" spans="1:14" ht="45" x14ac:dyDescent="0.25">
      <c r="A73" s="222">
        <v>1115061</v>
      </c>
      <c r="B73" s="225">
        <v>5061</v>
      </c>
      <c r="C73" s="42">
        <v>810</v>
      </c>
      <c r="D73" s="43" t="s">
        <v>32</v>
      </c>
      <c r="E73" s="43" t="s">
        <v>309</v>
      </c>
      <c r="F73" s="44" t="s">
        <v>34</v>
      </c>
      <c r="G73" s="8">
        <f t="shared" si="1"/>
        <v>1265000</v>
      </c>
      <c r="H73" s="46">
        <v>1265000</v>
      </c>
      <c r="I73" s="45"/>
      <c r="J73" s="46">
        <f t="shared" si="3"/>
        <v>1265000</v>
      </c>
      <c r="K73" s="46"/>
      <c r="L73" s="45"/>
      <c r="M73" s="46"/>
      <c r="N73" s="46">
        <f t="shared" si="4"/>
        <v>0</v>
      </c>
    </row>
    <row r="74" spans="1:14" ht="40.15" customHeight="1" x14ac:dyDescent="0.25">
      <c r="A74" s="222">
        <v>1115062</v>
      </c>
      <c r="B74" s="225">
        <v>5062</v>
      </c>
      <c r="C74" s="42">
        <v>810</v>
      </c>
      <c r="D74" s="43" t="s">
        <v>33</v>
      </c>
      <c r="E74" s="43" t="s">
        <v>279</v>
      </c>
      <c r="F74" s="44" t="s">
        <v>280</v>
      </c>
      <c r="G74" s="8">
        <f t="shared" si="1"/>
        <v>2311200</v>
      </c>
      <c r="H74" s="46">
        <v>2311200</v>
      </c>
      <c r="I74" s="45"/>
      <c r="J74" s="46">
        <f t="shared" si="3"/>
        <v>2311200</v>
      </c>
      <c r="K74" s="46"/>
      <c r="L74" s="45"/>
      <c r="M74" s="46"/>
      <c r="N74" s="46">
        <f t="shared" si="4"/>
        <v>0</v>
      </c>
    </row>
    <row r="75" spans="1:14" ht="25.15" customHeight="1" x14ac:dyDescent="0.25">
      <c r="A75" s="227">
        <v>12</v>
      </c>
      <c r="B75" s="227"/>
      <c r="C75" s="52"/>
      <c r="D75" s="235" t="s">
        <v>413</v>
      </c>
      <c r="E75" s="235"/>
      <c r="F75" s="53"/>
      <c r="G75" s="8">
        <f t="shared" si="1"/>
        <v>85861487.950000003</v>
      </c>
      <c r="H75" s="45">
        <f t="shared" ref="H75:N75" si="26">SUM(H76:H100)</f>
        <v>22464650</v>
      </c>
      <c r="I75" s="45">
        <f t="shared" si="26"/>
        <v>4174377.95</v>
      </c>
      <c r="J75" s="45">
        <f t="shared" si="26"/>
        <v>26639027.949999999</v>
      </c>
      <c r="K75" s="45">
        <f t="shared" si="26"/>
        <v>52670460</v>
      </c>
      <c r="L75" s="45">
        <f t="shared" si="26"/>
        <v>6552000</v>
      </c>
      <c r="M75" s="45">
        <f t="shared" si="26"/>
        <v>6552000</v>
      </c>
      <c r="N75" s="45">
        <f t="shared" si="26"/>
        <v>59222460</v>
      </c>
    </row>
    <row r="76" spans="1:14" ht="22.9" customHeight="1" x14ac:dyDescent="0.25">
      <c r="A76" s="39">
        <v>1216013</v>
      </c>
      <c r="B76" s="145">
        <v>6013</v>
      </c>
      <c r="C76" s="51">
        <v>620</v>
      </c>
      <c r="D76" s="43" t="s">
        <v>277</v>
      </c>
      <c r="E76" s="327" t="s">
        <v>289</v>
      </c>
      <c r="F76" s="330" t="s">
        <v>278</v>
      </c>
      <c r="G76" s="8">
        <f t="shared" si="1"/>
        <v>9010000</v>
      </c>
      <c r="H76" s="63">
        <v>5060000</v>
      </c>
      <c r="I76" s="148">
        <f>2500000+500000</f>
        <v>3000000</v>
      </c>
      <c r="J76" s="46">
        <f t="shared" si="3"/>
        <v>8060000</v>
      </c>
      <c r="K76" s="63">
        <v>1450000</v>
      </c>
      <c r="L76" s="148">
        <v>-500000</v>
      </c>
      <c r="M76" s="63">
        <v>-500000</v>
      </c>
      <c r="N76" s="46">
        <f t="shared" si="4"/>
        <v>950000</v>
      </c>
    </row>
    <row r="77" spans="1:14" ht="22.5" x14ac:dyDescent="0.25">
      <c r="A77" s="39">
        <v>1216040</v>
      </c>
      <c r="B77" s="145">
        <v>6040</v>
      </c>
      <c r="C77" s="51">
        <v>620</v>
      </c>
      <c r="D77" s="43" t="s">
        <v>302</v>
      </c>
      <c r="E77" s="329"/>
      <c r="F77" s="332"/>
      <c r="G77" s="8">
        <f t="shared" si="1"/>
        <v>1695000</v>
      </c>
      <c r="H77" s="63">
        <v>1695000</v>
      </c>
      <c r="I77" s="148"/>
      <c r="J77" s="46">
        <f t="shared" si="3"/>
        <v>1695000</v>
      </c>
      <c r="K77" s="63"/>
      <c r="L77" s="148"/>
      <c r="M77" s="63"/>
      <c r="N77" s="46">
        <f t="shared" si="4"/>
        <v>0</v>
      </c>
    </row>
    <row r="78" spans="1:14" ht="33.75" x14ac:dyDescent="0.25">
      <c r="A78" s="224">
        <v>1217693</v>
      </c>
      <c r="B78" s="225">
        <v>7693</v>
      </c>
      <c r="C78" s="42">
        <v>490</v>
      </c>
      <c r="D78" s="43" t="s">
        <v>188</v>
      </c>
      <c r="E78" s="48" t="s">
        <v>294</v>
      </c>
      <c r="F78" s="44" t="s">
        <v>295</v>
      </c>
      <c r="G78" s="8">
        <f t="shared" si="1"/>
        <v>103027.95</v>
      </c>
      <c r="H78" s="63"/>
      <c r="I78" s="148">
        <v>103027.95</v>
      </c>
      <c r="J78" s="46">
        <f t="shared" si="3"/>
        <v>103027.95</v>
      </c>
      <c r="K78" s="63"/>
      <c r="L78" s="148"/>
      <c r="M78" s="63"/>
      <c r="N78" s="46">
        <f t="shared" si="4"/>
        <v>0</v>
      </c>
    </row>
    <row r="79" spans="1:14" ht="45" x14ac:dyDescent="0.25">
      <c r="A79" s="222">
        <v>1217670</v>
      </c>
      <c r="B79" s="225">
        <v>7670</v>
      </c>
      <c r="C79" s="42">
        <v>490</v>
      </c>
      <c r="D79" s="43" t="s">
        <v>303</v>
      </c>
      <c r="E79" s="58" t="s">
        <v>304</v>
      </c>
      <c r="F79" s="59" t="s">
        <v>278</v>
      </c>
      <c r="G79" s="8">
        <f t="shared" si="1"/>
        <v>12750000</v>
      </c>
      <c r="H79" s="63"/>
      <c r="I79" s="148"/>
      <c r="J79" s="46">
        <f t="shared" si="3"/>
        <v>0</v>
      </c>
      <c r="K79" s="63">
        <v>8000000</v>
      </c>
      <c r="L79" s="148">
        <v>4750000</v>
      </c>
      <c r="M79" s="63">
        <v>4750000</v>
      </c>
      <c r="N79" s="46">
        <f t="shared" si="4"/>
        <v>12750000</v>
      </c>
    </row>
    <row r="80" spans="1:14" ht="90" x14ac:dyDescent="0.25">
      <c r="A80" s="222">
        <v>1216071</v>
      </c>
      <c r="B80" s="225">
        <v>6071</v>
      </c>
      <c r="C80" s="42">
        <v>640</v>
      </c>
      <c r="D80" s="43" t="s">
        <v>53</v>
      </c>
      <c r="E80" s="43" t="s">
        <v>54</v>
      </c>
      <c r="F80" s="44" t="s">
        <v>55</v>
      </c>
      <c r="G80" s="8">
        <f t="shared" si="1"/>
        <v>6700000</v>
      </c>
      <c r="H80" s="64">
        <v>6700000</v>
      </c>
      <c r="I80" s="149"/>
      <c r="J80" s="46">
        <f t="shared" si="3"/>
        <v>6700000</v>
      </c>
      <c r="K80" s="64"/>
      <c r="L80" s="149"/>
      <c r="M80" s="64"/>
      <c r="N80" s="46">
        <f t="shared" si="4"/>
        <v>0</v>
      </c>
    </row>
    <row r="81" spans="1:14" ht="33.75" x14ac:dyDescent="0.25">
      <c r="A81" s="61">
        <v>1211021</v>
      </c>
      <c r="B81" s="61">
        <v>1021</v>
      </c>
      <c r="C81" s="61">
        <v>921</v>
      </c>
      <c r="D81" s="62" t="s">
        <v>234</v>
      </c>
      <c r="E81" s="43" t="s">
        <v>281</v>
      </c>
      <c r="F81" s="44" t="s">
        <v>313</v>
      </c>
      <c r="G81" s="8">
        <f t="shared" si="1"/>
        <v>40120460</v>
      </c>
      <c r="H81" s="64"/>
      <c r="I81" s="149"/>
      <c r="J81" s="46">
        <f t="shared" si="3"/>
        <v>0</v>
      </c>
      <c r="K81" s="64">
        <v>40120460</v>
      </c>
      <c r="L81" s="149"/>
      <c r="M81" s="64"/>
      <c r="N81" s="46">
        <f t="shared" si="4"/>
        <v>40120460</v>
      </c>
    </row>
    <row r="82" spans="1:14" ht="33.75" x14ac:dyDescent="0.25">
      <c r="A82" s="61">
        <v>1211021</v>
      </c>
      <c r="B82" s="61">
        <v>1021</v>
      </c>
      <c r="C82" s="61">
        <v>921</v>
      </c>
      <c r="D82" s="62" t="s">
        <v>234</v>
      </c>
      <c r="E82" s="336" t="s">
        <v>469</v>
      </c>
      <c r="F82" s="330" t="s">
        <v>470</v>
      </c>
      <c r="G82" s="8">
        <f t="shared" si="1"/>
        <v>200000</v>
      </c>
      <c r="H82" s="64"/>
      <c r="I82" s="149">
        <v>200000</v>
      </c>
      <c r="J82" s="46">
        <f t="shared" si="3"/>
        <v>200000</v>
      </c>
      <c r="K82" s="64"/>
      <c r="L82" s="149"/>
      <c r="M82" s="64"/>
      <c r="N82" s="46">
        <f t="shared" si="4"/>
        <v>0</v>
      </c>
    </row>
    <row r="83" spans="1:14" ht="22.5" x14ac:dyDescent="0.25">
      <c r="A83" s="11" t="s">
        <v>463</v>
      </c>
      <c r="B83" s="11">
        <v>2152</v>
      </c>
      <c r="C83" s="11" t="s">
        <v>173</v>
      </c>
      <c r="D83" s="150" t="s">
        <v>174</v>
      </c>
      <c r="E83" s="340"/>
      <c r="F83" s="331"/>
      <c r="G83" s="8">
        <f t="shared" si="1"/>
        <v>500000</v>
      </c>
      <c r="H83" s="64"/>
      <c r="I83" s="149"/>
      <c r="J83" s="46">
        <f t="shared" si="3"/>
        <v>0</v>
      </c>
      <c r="K83" s="64"/>
      <c r="L83" s="149">
        <v>500000</v>
      </c>
      <c r="M83" s="64">
        <v>500000</v>
      </c>
      <c r="N83" s="46">
        <f t="shared" si="4"/>
        <v>500000</v>
      </c>
    </row>
    <row r="84" spans="1:14" ht="22.5" x14ac:dyDescent="0.25">
      <c r="A84" s="24">
        <v>1216090</v>
      </c>
      <c r="B84" s="24">
        <v>6090</v>
      </c>
      <c r="C84" s="24" t="s">
        <v>223</v>
      </c>
      <c r="D84" s="237" t="s">
        <v>224</v>
      </c>
      <c r="E84" s="340"/>
      <c r="F84" s="331"/>
      <c r="G84" s="8">
        <f t="shared" si="1"/>
        <v>600000</v>
      </c>
      <c r="H84" s="64"/>
      <c r="I84" s="149"/>
      <c r="J84" s="46">
        <f t="shared" si="3"/>
        <v>0</v>
      </c>
      <c r="K84" s="64"/>
      <c r="L84" s="149">
        <v>600000</v>
      </c>
      <c r="M84" s="64">
        <v>600000</v>
      </c>
      <c r="N84" s="46">
        <f t="shared" si="4"/>
        <v>600000</v>
      </c>
    </row>
    <row r="85" spans="1:14" x14ac:dyDescent="0.25">
      <c r="A85" s="147" t="s">
        <v>465</v>
      </c>
      <c r="B85" s="121">
        <v>9770</v>
      </c>
      <c r="C85" s="145">
        <v>180</v>
      </c>
      <c r="D85" s="122" t="s">
        <v>452</v>
      </c>
      <c r="E85" s="337"/>
      <c r="F85" s="332"/>
      <c r="G85" s="8">
        <f t="shared" si="1"/>
        <v>300000</v>
      </c>
      <c r="H85" s="64"/>
      <c r="I85" s="149"/>
      <c r="J85" s="46">
        <f t="shared" si="3"/>
        <v>0</v>
      </c>
      <c r="K85" s="64"/>
      <c r="L85" s="149">
        <v>300000</v>
      </c>
      <c r="M85" s="64">
        <v>300000</v>
      </c>
      <c r="N85" s="46">
        <f t="shared" si="4"/>
        <v>300000</v>
      </c>
    </row>
    <row r="86" spans="1:14" ht="24" customHeight="1" x14ac:dyDescent="0.25">
      <c r="A86" s="222">
        <v>1216090</v>
      </c>
      <c r="B86" s="225">
        <v>6090</v>
      </c>
      <c r="C86" s="42">
        <v>640</v>
      </c>
      <c r="D86" s="43" t="s">
        <v>224</v>
      </c>
      <c r="E86" s="330" t="s">
        <v>291</v>
      </c>
      <c r="F86" s="330" t="s">
        <v>290</v>
      </c>
      <c r="G86" s="8">
        <f t="shared" si="1"/>
        <v>195000</v>
      </c>
      <c r="H86" s="64"/>
      <c r="I86" s="149">
        <v>50000</v>
      </c>
      <c r="J86" s="46">
        <f t="shared" si="3"/>
        <v>50000</v>
      </c>
      <c r="K86" s="64"/>
      <c r="L86" s="149">
        <v>145000</v>
      </c>
      <c r="M86" s="64">
        <v>145000</v>
      </c>
      <c r="N86" s="46">
        <f t="shared" si="4"/>
        <v>145000</v>
      </c>
    </row>
    <row r="87" spans="1:14" ht="67.5" x14ac:dyDescent="0.25">
      <c r="A87" s="147" t="s">
        <v>299</v>
      </c>
      <c r="B87" s="147" t="s">
        <v>155</v>
      </c>
      <c r="C87" s="54" t="s">
        <v>156</v>
      </c>
      <c r="D87" s="43" t="s">
        <v>157</v>
      </c>
      <c r="E87" s="331"/>
      <c r="F87" s="331"/>
      <c r="G87" s="8">
        <f t="shared" si="1"/>
        <v>50000</v>
      </c>
      <c r="H87" s="64"/>
      <c r="I87" s="149">
        <v>50000</v>
      </c>
      <c r="J87" s="46">
        <f t="shared" si="3"/>
        <v>50000</v>
      </c>
      <c r="K87" s="64"/>
      <c r="L87" s="149"/>
      <c r="M87" s="64"/>
      <c r="N87" s="46">
        <f t="shared" si="4"/>
        <v>0</v>
      </c>
    </row>
    <row r="88" spans="1:14" ht="22.5" x14ac:dyDescent="0.25">
      <c r="A88" s="147" t="s">
        <v>300</v>
      </c>
      <c r="B88" s="226">
        <v>1010</v>
      </c>
      <c r="C88" s="47" t="s">
        <v>194</v>
      </c>
      <c r="D88" s="43" t="s">
        <v>195</v>
      </c>
      <c r="E88" s="331"/>
      <c r="F88" s="331"/>
      <c r="G88" s="8">
        <f t="shared" si="1"/>
        <v>150000</v>
      </c>
      <c r="H88" s="64"/>
      <c r="I88" s="149">
        <v>150000</v>
      </c>
      <c r="J88" s="46">
        <f t="shared" si="3"/>
        <v>150000</v>
      </c>
      <c r="K88" s="64"/>
      <c r="L88" s="149"/>
      <c r="M88" s="64"/>
      <c r="N88" s="46">
        <f t="shared" si="4"/>
        <v>0</v>
      </c>
    </row>
    <row r="89" spans="1:14" ht="33.75" x14ac:dyDescent="0.25">
      <c r="A89" s="61">
        <v>1211021</v>
      </c>
      <c r="B89" s="61">
        <v>1021</v>
      </c>
      <c r="C89" s="61">
        <v>921</v>
      </c>
      <c r="D89" s="62" t="s">
        <v>234</v>
      </c>
      <c r="E89" s="331"/>
      <c r="F89" s="331"/>
      <c r="G89" s="8">
        <f t="shared" si="1"/>
        <v>150000</v>
      </c>
      <c r="H89" s="64"/>
      <c r="I89" s="149"/>
      <c r="J89" s="46">
        <f t="shared" si="3"/>
        <v>0</v>
      </c>
      <c r="K89" s="64"/>
      <c r="L89" s="149">
        <v>150000</v>
      </c>
      <c r="M89" s="64">
        <v>150000</v>
      </c>
      <c r="N89" s="46">
        <f t="shared" si="4"/>
        <v>150000</v>
      </c>
    </row>
    <row r="90" spans="1:14" x14ac:dyDescent="0.25">
      <c r="A90" s="24" t="s">
        <v>517</v>
      </c>
      <c r="B90" s="24">
        <v>4030</v>
      </c>
      <c r="C90" s="24" t="s">
        <v>214</v>
      </c>
      <c r="D90" s="150" t="s">
        <v>215</v>
      </c>
      <c r="E90" s="331"/>
      <c r="F90" s="331"/>
      <c r="G90" s="8">
        <f t="shared" si="1"/>
        <v>150000</v>
      </c>
      <c r="H90" s="64"/>
      <c r="I90" s="149"/>
      <c r="J90" s="46">
        <f t="shared" si="3"/>
        <v>0</v>
      </c>
      <c r="K90" s="64"/>
      <c r="L90" s="149">
        <v>150000</v>
      </c>
      <c r="M90" s="64">
        <v>150000</v>
      </c>
      <c r="N90" s="46">
        <f t="shared" si="4"/>
        <v>150000</v>
      </c>
    </row>
    <row r="91" spans="1:14" ht="45" x14ac:dyDescent="0.25">
      <c r="A91" s="147" t="s">
        <v>301</v>
      </c>
      <c r="B91" s="147">
        <v>5031</v>
      </c>
      <c r="C91" s="54" t="s">
        <v>222</v>
      </c>
      <c r="D91" s="43" t="s">
        <v>439</v>
      </c>
      <c r="E91" s="331"/>
      <c r="F91" s="331"/>
      <c r="G91" s="8">
        <f t="shared" si="1"/>
        <v>300000</v>
      </c>
      <c r="H91" s="64"/>
      <c r="I91" s="149"/>
      <c r="J91" s="46">
        <f t="shared" si="3"/>
        <v>0</v>
      </c>
      <c r="K91" s="64"/>
      <c r="L91" s="149">
        <v>300000</v>
      </c>
      <c r="M91" s="64">
        <v>300000</v>
      </c>
      <c r="N91" s="46">
        <f t="shared" si="4"/>
        <v>300000</v>
      </c>
    </row>
    <row r="92" spans="1:14" ht="22.5" x14ac:dyDescent="0.25">
      <c r="A92" s="224">
        <v>1217370</v>
      </c>
      <c r="B92" s="225">
        <v>7370</v>
      </c>
      <c r="C92" s="42">
        <v>490</v>
      </c>
      <c r="D92" s="43" t="s">
        <v>15</v>
      </c>
      <c r="E92" s="332"/>
      <c r="F92" s="332"/>
      <c r="G92" s="8">
        <f t="shared" si="1"/>
        <v>157000</v>
      </c>
      <c r="H92" s="64"/>
      <c r="I92" s="149"/>
      <c r="J92" s="46">
        <f t="shared" si="3"/>
        <v>0</v>
      </c>
      <c r="K92" s="64"/>
      <c r="L92" s="149">
        <f>27000+130000</f>
        <v>157000</v>
      </c>
      <c r="M92" s="64">
        <f>27000+130000</f>
        <v>157000</v>
      </c>
      <c r="N92" s="46">
        <f t="shared" si="4"/>
        <v>157000</v>
      </c>
    </row>
    <row r="93" spans="1:14" ht="56.25" x14ac:dyDescent="0.25">
      <c r="A93" s="224">
        <v>1217370</v>
      </c>
      <c r="B93" s="225">
        <v>7370</v>
      </c>
      <c r="C93" s="42">
        <v>490</v>
      </c>
      <c r="D93" s="43" t="s">
        <v>15</v>
      </c>
      <c r="E93" s="48" t="s">
        <v>490</v>
      </c>
      <c r="F93" s="44" t="s">
        <v>491</v>
      </c>
      <c r="G93" s="8">
        <f t="shared" si="1"/>
        <v>50000</v>
      </c>
      <c r="H93" s="64"/>
      <c r="I93" s="149">
        <v>50000</v>
      </c>
      <c r="J93" s="46">
        <f t="shared" si="3"/>
        <v>50000</v>
      </c>
      <c r="K93" s="64"/>
      <c r="L93" s="149"/>
      <c r="M93" s="64"/>
      <c r="N93" s="46"/>
    </row>
    <row r="94" spans="1:14" ht="67.5" x14ac:dyDescent="0.25">
      <c r="A94" s="147" t="s">
        <v>299</v>
      </c>
      <c r="B94" s="147" t="s">
        <v>155</v>
      </c>
      <c r="C94" s="54" t="s">
        <v>156</v>
      </c>
      <c r="D94" s="43" t="s">
        <v>157</v>
      </c>
      <c r="E94" s="327" t="s">
        <v>287</v>
      </c>
      <c r="F94" s="330" t="s">
        <v>288</v>
      </c>
      <c r="G94" s="8">
        <f t="shared" si="1"/>
        <v>3823400</v>
      </c>
      <c r="H94" s="64">
        <v>3264250</v>
      </c>
      <c r="I94" s="149">
        <f>559150</f>
        <v>559150</v>
      </c>
      <c r="J94" s="46">
        <f t="shared" si="3"/>
        <v>3823400</v>
      </c>
      <c r="K94" s="64"/>
      <c r="L94" s="149"/>
      <c r="M94" s="64"/>
      <c r="N94" s="46">
        <f t="shared" si="4"/>
        <v>0</v>
      </c>
    </row>
    <row r="95" spans="1:14" ht="22.5" x14ac:dyDescent="0.25">
      <c r="A95" s="147" t="s">
        <v>300</v>
      </c>
      <c r="B95" s="226">
        <v>1010</v>
      </c>
      <c r="C95" s="47" t="s">
        <v>194</v>
      </c>
      <c r="D95" s="43" t="s">
        <v>195</v>
      </c>
      <c r="E95" s="328"/>
      <c r="F95" s="331"/>
      <c r="G95" s="8">
        <f t="shared" si="1"/>
        <v>1000000</v>
      </c>
      <c r="H95" s="64">
        <v>950000</v>
      </c>
      <c r="I95" s="149"/>
      <c r="J95" s="46">
        <f t="shared" si="3"/>
        <v>950000</v>
      </c>
      <c r="K95" s="64">
        <v>50000</v>
      </c>
      <c r="L95" s="149"/>
      <c r="M95" s="64"/>
      <c r="N95" s="46">
        <f t="shared" si="4"/>
        <v>50000</v>
      </c>
    </row>
    <row r="96" spans="1:14" ht="33.75" x14ac:dyDescent="0.25">
      <c r="A96" s="61">
        <v>1211021</v>
      </c>
      <c r="B96" s="61">
        <v>1021</v>
      </c>
      <c r="C96" s="61">
        <v>921</v>
      </c>
      <c r="D96" s="62" t="s">
        <v>234</v>
      </c>
      <c r="E96" s="328"/>
      <c r="F96" s="331"/>
      <c r="G96" s="8">
        <f t="shared" si="1"/>
        <v>100000</v>
      </c>
      <c r="H96" s="64"/>
      <c r="I96" s="149"/>
      <c r="J96" s="46">
        <f t="shared" si="3"/>
        <v>0</v>
      </c>
      <c r="K96" s="64">
        <v>100000</v>
      </c>
      <c r="L96" s="149"/>
      <c r="M96" s="64"/>
      <c r="N96" s="46">
        <f t="shared" si="4"/>
        <v>100000</v>
      </c>
    </row>
    <row r="97" spans="1:16" ht="22.5" x14ac:dyDescent="0.25">
      <c r="A97" s="24" t="s">
        <v>308</v>
      </c>
      <c r="B97" s="24">
        <v>1080</v>
      </c>
      <c r="C97" s="24" t="s">
        <v>203</v>
      </c>
      <c r="D97" s="150" t="s">
        <v>213</v>
      </c>
      <c r="E97" s="328"/>
      <c r="F97" s="331"/>
      <c r="G97" s="8">
        <f t="shared" si="1"/>
        <v>250000</v>
      </c>
      <c r="H97" s="64"/>
      <c r="I97" s="149"/>
      <c r="J97" s="46">
        <f t="shared" si="3"/>
        <v>0</v>
      </c>
      <c r="K97" s="64">
        <v>250000</v>
      </c>
      <c r="L97" s="149"/>
      <c r="M97" s="64"/>
      <c r="N97" s="46">
        <f t="shared" si="4"/>
        <v>250000</v>
      </c>
    </row>
    <row r="98" spans="1:16" ht="33.75" x14ac:dyDescent="0.25">
      <c r="A98" s="226" t="s">
        <v>307</v>
      </c>
      <c r="B98" s="226">
        <v>4060</v>
      </c>
      <c r="C98" s="47" t="s">
        <v>217</v>
      </c>
      <c r="D98" s="43" t="s">
        <v>218</v>
      </c>
      <c r="E98" s="328"/>
      <c r="F98" s="331"/>
      <c r="G98" s="8">
        <f t="shared" si="1"/>
        <v>1198300</v>
      </c>
      <c r="H98" s="64">
        <v>753300</v>
      </c>
      <c r="I98" s="149">
        <f>45000</f>
        <v>45000</v>
      </c>
      <c r="J98" s="46">
        <f t="shared" si="3"/>
        <v>798300</v>
      </c>
      <c r="K98" s="64">
        <v>400000</v>
      </c>
      <c r="L98" s="149"/>
      <c r="M98" s="64"/>
      <c r="N98" s="46">
        <f t="shared" si="4"/>
        <v>400000</v>
      </c>
    </row>
    <row r="99" spans="1:16" ht="78.75" x14ac:dyDescent="0.25">
      <c r="A99" s="147" t="s">
        <v>301</v>
      </c>
      <c r="B99" s="147">
        <v>5031</v>
      </c>
      <c r="C99" s="54" t="s">
        <v>222</v>
      </c>
      <c r="D99" s="43" t="s">
        <v>503</v>
      </c>
      <c r="E99" s="328"/>
      <c r="F99" s="331"/>
      <c r="G99" s="8">
        <f t="shared" si="1"/>
        <v>2300000</v>
      </c>
      <c r="H99" s="64"/>
      <c r="I99" s="149"/>
      <c r="J99" s="46">
        <f t="shared" si="3"/>
        <v>0</v>
      </c>
      <c r="K99" s="64">
        <v>2300000</v>
      </c>
      <c r="L99" s="149"/>
      <c r="M99" s="64"/>
      <c r="N99" s="46">
        <f t="shared" si="4"/>
        <v>2300000</v>
      </c>
    </row>
    <row r="100" spans="1:16" ht="22.9" customHeight="1" x14ac:dyDescent="0.25">
      <c r="A100" s="222">
        <v>1216090</v>
      </c>
      <c r="B100" s="225">
        <v>6090</v>
      </c>
      <c r="C100" s="42">
        <v>640</v>
      </c>
      <c r="D100" s="43" t="s">
        <v>224</v>
      </c>
      <c r="E100" s="329"/>
      <c r="F100" s="332"/>
      <c r="G100" s="8">
        <f t="shared" si="1"/>
        <v>4009300</v>
      </c>
      <c r="H100" s="64">
        <v>4042100</v>
      </c>
      <c r="I100" s="149">
        <f>67200-100000</f>
        <v>-32800</v>
      </c>
      <c r="J100" s="46">
        <f t="shared" si="3"/>
        <v>4009300</v>
      </c>
      <c r="K100" s="64"/>
      <c r="L100" s="149"/>
      <c r="M100" s="64"/>
      <c r="N100" s="46">
        <f t="shared" si="4"/>
        <v>0</v>
      </c>
    </row>
    <row r="101" spans="1:16" ht="24" x14ac:dyDescent="0.25">
      <c r="A101" s="228">
        <v>14</v>
      </c>
      <c r="B101" s="229"/>
      <c r="C101" s="55"/>
      <c r="D101" s="240" t="s">
        <v>26</v>
      </c>
      <c r="E101" s="234"/>
      <c r="F101" s="56"/>
      <c r="G101" s="8">
        <f t="shared" si="1"/>
        <v>71928046</v>
      </c>
      <c r="H101" s="57">
        <f>SUM(H102:H112)</f>
        <v>53164896</v>
      </c>
      <c r="I101" s="57">
        <f t="shared" ref="I101" si="27">SUM(I102:I112)</f>
        <v>-371950</v>
      </c>
      <c r="J101" s="57">
        <f t="shared" ref="J101" si="28">SUM(J102:J112)</f>
        <v>52792946</v>
      </c>
      <c r="K101" s="57">
        <f t="shared" ref="K101" si="29">SUM(K102:K112)</f>
        <v>8655300</v>
      </c>
      <c r="L101" s="57">
        <f t="shared" ref="L101" si="30">SUM(L102:L112)</f>
        <v>9179800</v>
      </c>
      <c r="M101" s="57">
        <f t="shared" ref="M101" si="31">SUM(M102:M112)</f>
        <v>8243000</v>
      </c>
      <c r="N101" s="57">
        <f t="shared" ref="N101" si="32">SUM(N102:N112)</f>
        <v>19135100</v>
      </c>
    </row>
    <row r="102" spans="1:16" ht="14.45" customHeight="1" x14ac:dyDescent="0.25">
      <c r="A102" s="222">
        <v>1416030</v>
      </c>
      <c r="B102" s="225">
        <v>6030</v>
      </c>
      <c r="C102" s="42">
        <v>620</v>
      </c>
      <c r="D102" s="43" t="s">
        <v>227</v>
      </c>
      <c r="E102" s="327" t="s">
        <v>311</v>
      </c>
      <c r="F102" s="330" t="s">
        <v>283</v>
      </c>
      <c r="G102" s="8">
        <f t="shared" si="1"/>
        <v>52971696</v>
      </c>
      <c r="H102" s="46">
        <v>51314896</v>
      </c>
      <c r="I102" s="45">
        <v>-2500000</v>
      </c>
      <c r="J102" s="46">
        <f t="shared" si="3"/>
        <v>48814896</v>
      </c>
      <c r="K102" s="46">
        <v>6300000</v>
      </c>
      <c r="L102" s="45">
        <f>-3000000+856800</f>
        <v>-2143200</v>
      </c>
      <c r="M102" s="46">
        <v>-3000000</v>
      </c>
      <c r="N102" s="46">
        <f t="shared" si="4"/>
        <v>4156800</v>
      </c>
    </row>
    <row r="103" spans="1:16" ht="33.75" x14ac:dyDescent="0.25">
      <c r="A103" s="39">
        <v>1417461</v>
      </c>
      <c r="B103" s="121">
        <v>7461</v>
      </c>
      <c r="C103" s="145">
        <v>456</v>
      </c>
      <c r="D103" s="122" t="s">
        <v>445</v>
      </c>
      <c r="E103" s="329"/>
      <c r="F103" s="331"/>
      <c r="G103" s="8">
        <f t="shared" si="1"/>
        <v>5500000</v>
      </c>
      <c r="H103" s="46"/>
      <c r="I103" s="45">
        <v>2500000</v>
      </c>
      <c r="J103" s="46">
        <f t="shared" si="3"/>
        <v>2500000</v>
      </c>
      <c r="K103" s="46"/>
      <c r="L103" s="45">
        <v>3000000</v>
      </c>
      <c r="M103" s="46">
        <v>3000000</v>
      </c>
      <c r="N103" s="46">
        <f>SUM(K103:L103)</f>
        <v>3000000</v>
      </c>
    </row>
    <row r="104" spans="1:16" ht="56.25" x14ac:dyDescent="0.25">
      <c r="A104" s="222">
        <v>1416030</v>
      </c>
      <c r="B104" s="225">
        <v>6030</v>
      </c>
      <c r="C104" s="42">
        <v>620</v>
      </c>
      <c r="D104" s="43" t="s">
        <v>227</v>
      </c>
      <c r="E104" s="58" t="s">
        <v>519</v>
      </c>
      <c r="F104" s="332"/>
      <c r="G104" s="8">
        <f t="shared" si="1"/>
        <v>724000</v>
      </c>
      <c r="H104" s="46"/>
      <c r="I104" s="45">
        <f>15000+63000</f>
        <v>78000</v>
      </c>
      <c r="J104" s="46">
        <f t="shared" si="3"/>
        <v>78000</v>
      </c>
      <c r="K104" s="46"/>
      <c r="L104" s="45">
        <v>646000</v>
      </c>
      <c r="M104" s="46">
        <v>646000</v>
      </c>
      <c r="N104" s="46">
        <f>SUM(K104:L104)</f>
        <v>646000</v>
      </c>
    </row>
    <row r="105" spans="1:16" ht="56.25" x14ac:dyDescent="0.25">
      <c r="A105" s="222">
        <v>1416030</v>
      </c>
      <c r="B105" s="225">
        <v>6030</v>
      </c>
      <c r="C105" s="42">
        <v>620</v>
      </c>
      <c r="D105" s="43" t="s">
        <v>227</v>
      </c>
      <c r="E105" s="48" t="s">
        <v>518</v>
      </c>
      <c r="F105" s="330" t="s">
        <v>27</v>
      </c>
      <c r="G105" s="8">
        <f t="shared" si="1"/>
        <v>410000</v>
      </c>
      <c r="H105" s="46"/>
      <c r="I105" s="45">
        <v>60000</v>
      </c>
      <c r="J105" s="46">
        <f t="shared" si="3"/>
        <v>60000</v>
      </c>
      <c r="K105" s="46"/>
      <c r="L105" s="45">
        <f>250000+100000</f>
        <v>350000</v>
      </c>
      <c r="M105" s="46">
        <f>250000+100000</f>
        <v>350000</v>
      </c>
      <c r="N105" s="46">
        <f t="shared" si="4"/>
        <v>350000</v>
      </c>
    </row>
    <row r="106" spans="1:16" ht="22.5" x14ac:dyDescent="0.25">
      <c r="A106" s="222">
        <v>1416030</v>
      </c>
      <c r="B106" s="225">
        <v>6030</v>
      </c>
      <c r="C106" s="42">
        <v>620</v>
      </c>
      <c r="D106" s="43" t="s">
        <v>227</v>
      </c>
      <c r="E106" s="48" t="s">
        <v>505</v>
      </c>
      <c r="F106" s="332"/>
      <c r="G106" s="8">
        <f t="shared" si="1"/>
        <v>4800000</v>
      </c>
      <c r="H106" s="46">
        <v>1850000</v>
      </c>
      <c r="I106" s="45">
        <v>-1300000</v>
      </c>
      <c r="J106" s="46">
        <f t="shared" si="3"/>
        <v>550000</v>
      </c>
      <c r="K106" s="46">
        <v>1650000</v>
      </c>
      <c r="L106" s="45">
        <v>1300000</v>
      </c>
      <c r="M106" s="46">
        <v>1300000</v>
      </c>
      <c r="N106" s="46">
        <f>SUM(K106:M106)</f>
        <v>4250000</v>
      </c>
      <c r="P106" s="35"/>
    </row>
    <row r="107" spans="1:16" ht="33.75" x14ac:dyDescent="0.25">
      <c r="A107" s="222">
        <v>1416030</v>
      </c>
      <c r="B107" s="225">
        <v>6030</v>
      </c>
      <c r="C107" s="42">
        <v>620</v>
      </c>
      <c r="D107" s="43" t="s">
        <v>227</v>
      </c>
      <c r="E107" s="48" t="s">
        <v>291</v>
      </c>
      <c r="F107" s="44" t="s">
        <v>504</v>
      </c>
      <c r="G107" s="8">
        <f t="shared" si="1"/>
        <v>4400050</v>
      </c>
      <c r="H107" s="46"/>
      <c r="I107" s="45">
        <v>270050</v>
      </c>
      <c r="J107" s="46">
        <f t="shared" si="3"/>
        <v>270050</v>
      </c>
      <c r="K107" s="46"/>
      <c r="L107" s="45">
        <f>3102000+250000+778000</f>
        <v>4130000</v>
      </c>
      <c r="M107" s="45">
        <f>3102000+250000+778000</f>
        <v>4130000</v>
      </c>
      <c r="N107" s="46">
        <f t="shared" si="4"/>
        <v>4130000</v>
      </c>
      <c r="P107" s="35"/>
    </row>
    <row r="108" spans="1:16" ht="56.25" x14ac:dyDescent="0.25">
      <c r="A108" s="222">
        <v>1416030</v>
      </c>
      <c r="B108" s="225">
        <v>6030</v>
      </c>
      <c r="C108" s="42">
        <v>620</v>
      </c>
      <c r="D108" s="43" t="s">
        <v>227</v>
      </c>
      <c r="E108" s="48" t="s">
        <v>490</v>
      </c>
      <c r="F108" s="44" t="s">
        <v>491</v>
      </c>
      <c r="G108" s="8">
        <f t="shared" si="1"/>
        <v>60000</v>
      </c>
      <c r="H108" s="46"/>
      <c r="I108" s="45"/>
      <c r="J108" s="46">
        <f t="shared" si="3"/>
        <v>0</v>
      </c>
      <c r="K108" s="46"/>
      <c r="L108" s="45">
        <v>60000</v>
      </c>
      <c r="M108" s="45">
        <v>60000</v>
      </c>
      <c r="N108" s="46">
        <f t="shared" si="4"/>
        <v>60000</v>
      </c>
      <c r="P108" s="35"/>
    </row>
    <row r="109" spans="1:16" ht="33.75" x14ac:dyDescent="0.25">
      <c r="A109" s="226" t="s">
        <v>541</v>
      </c>
      <c r="B109" s="226">
        <v>7370</v>
      </c>
      <c r="C109" s="47">
        <v>490</v>
      </c>
      <c r="D109" s="43" t="s">
        <v>15</v>
      </c>
      <c r="E109" s="48" t="s">
        <v>16</v>
      </c>
      <c r="F109" s="44" t="s">
        <v>17</v>
      </c>
      <c r="G109" s="8">
        <f t="shared" ref="G109" si="33">SUM(J109+N109)</f>
        <v>200000</v>
      </c>
      <c r="H109" s="46"/>
      <c r="I109" s="45">
        <v>200000</v>
      </c>
      <c r="J109" s="46">
        <f t="shared" ref="J109" si="34">SUM(H109:I109)</f>
        <v>200000</v>
      </c>
      <c r="K109" s="46"/>
      <c r="L109" s="45"/>
      <c r="M109" s="46"/>
      <c r="N109" s="46">
        <f t="shared" ref="N109" si="35">SUM(K109:L109)</f>
        <v>0</v>
      </c>
      <c r="P109" s="35"/>
    </row>
    <row r="110" spans="1:16" ht="78.75" x14ac:dyDescent="0.25">
      <c r="A110" s="224">
        <v>1217370</v>
      </c>
      <c r="B110" s="225">
        <v>7370</v>
      </c>
      <c r="C110" s="42">
        <v>490</v>
      </c>
      <c r="D110" s="43" t="s">
        <v>15</v>
      </c>
      <c r="E110" s="238" t="s">
        <v>522</v>
      </c>
      <c r="F110" s="44" t="s">
        <v>523</v>
      </c>
      <c r="G110" s="8">
        <f t="shared" si="1"/>
        <v>220000</v>
      </c>
      <c r="H110" s="46"/>
      <c r="I110" s="45">
        <f>60000+20000</f>
        <v>80000</v>
      </c>
      <c r="J110" s="46">
        <f t="shared" si="3"/>
        <v>80000</v>
      </c>
      <c r="K110" s="46"/>
      <c r="L110" s="45">
        <v>140000</v>
      </c>
      <c r="M110" s="45">
        <v>60000</v>
      </c>
      <c r="N110" s="46">
        <f t="shared" si="4"/>
        <v>140000</v>
      </c>
      <c r="P110" s="35"/>
    </row>
    <row r="111" spans="1:16" ht="90" x14ac:dyDescent="0.25">
      <c r="A111" s="39">
        <v>1417461</v>
      </c>
      <c r="B111" s="121">
        <v>7461</v>
      </c>
      <c r="C111" s="145">
        <v>456</v>
      </c>
      <c r="D111" s="122" t="s">
        <v>445</v>
      </c>
      <c r="E111" s="48" t="s">
        <v>507</v>
      </c>
      <c r="F111" s="44" t="s">
        <v>506</v>
      </c>
      <c r="G111" s="8">
        <f t="shared" si="1"/>
        <v>1937000</v>
      </c>
      <c r="H111" s="46"/>
      <c r="I111" s="45">
        <f>20000+220000</f>
        <v>240000</v>
      </c>
      <c r="J111" s="46">
        <f t="shared" si="3"/>
        <v>240000</v>
      </c>
      <c r="K111" s="46"/>
      <c r="L111" s="45">
        <f>50000+1247000+400000</f>
        <v>1697000</v>
      </c>
      <c r="M111" s="46">
        <f>50000+1247000+400000</f>
        <v>1697000</v>
      </c>
      <c r="N111" s="46">
        <f t="shared" si="4"/>
        <v>1697000</v>
      </c>
      <c r="P111" s="35"/>
    </row>
    <row r="112" spans="1:16" ht="33.75" x14ac:dyDescent="0.25">
      <c r="A112" s="222">
        <v>1418312</v>
      </c>
      <c r="B112" s="225">
        <v>8312</v>
      </c>
      <c r="C112" s="42">
        <v>512</v>
      </c>
      <c r="D112" s="43" t="s">
        <v>390</v>
      </c>
      <c r="E112" s="43" t="s">
        <v>312</v>
      </c>
      <c r="F112" s="44" t="s">
        <v>524</v>
      </c>
      <c r="G112" s="8">
        <f t="shared" si="1"/>
        <v>705300</v>
      </c>
      <c r="H112" s="46"/>
      <c r="I112" s="45"/>
      <c r="J112" s="46">
        <f t="shared" si="3"/>
        <v>0</v>
      </c>
      <c r="K112" s="46">
        <v>705300</v>
      </c>
      <c r="L112" s="45"/>
      <c r="M112" s="46"/>
      <c r="N112" s="46">
        <f t="shared" si="4"/>
        <v>705300</v>
      </c>
    </row>
    <row r="113" spans="1:14" x14ac:dyDescent="0.25">
      <c r="A113" s="111" t="s">
        <v>232</v>
      </c>
      <c r="B113" s="111" t="s">
        <v>232</v>
      </c>
      <c r="C113" s="111" t="s">
        <v>232</v>
      </c>
      <c r="D113" s="338" t="s">
        <v>28</v>
      </c>
      <c r="E113" s="339"/>
      <c r="F113" s="111" t="s">
        <v>232</v>
      </c>
      <c r="G113" s="45">
        <f t="shared" ref="G113:N113" si="36">SUM(G13+G46+G57+G61+G68+G75+G101)</f>
        <v>249417650</v>
      </c>
      <c r="H113" s="45">
        <f t="shared" si="36"/>
        <v>136746298</v>
      </c>
      <c r="I113" s="45">
        <f t="shared" si="36"/>
        <v>-2101054.9999999991</v>
      </c>
      <c r="J113" s="45">
        <f t="shared" si="36"/>
        <v>134645243</v>
      </c>
      <c r="K113" s="45">
        <f t="shared" si="36"/>
        <v>83164360</v>
      </c>
      <c r="L113" s="45">
        <f t="shared" si="36"/>
        <v>31508047</v>
      </c>
      <c r="M113" s="45">
        <f t="shared" si="36"/>
        <v>29813000</v>
      </c>
      <c r="N113" s="45">
        <f t="shared" si="36"/>
        <v>114772407</v>
      </c>
    </row>
    <row r="114" spans="1:14" ht="18.75" x14ac:dyDescent="0.25">
      <c r="A114" s="5"/>
      <c r="G114" s="60"/>
    </row>
    <row r="115" spans="1:14" x14ac:dyDescent="0.25">
      <c r="G115" s="60"/>
    </row>
    <row r="116" spans="1:14" x14ac:dyDescent="0.25">
      <c r="I116" s="35"/>
    </row>
    <row r="117" spans="1:14" ht="18.75" x14ac:dyDescent="0.3">
      <c r="B117" s="27" t="s">
        <v>230</v>
      </c>
      <c r="C117" s="27"/>
      <c r="D117" s="27"/>
      <c r="E117" s="27"/>
      <c r="F117" s="27"/>
      <c r="G117" s="27" t="s">
        <v>231</v>
      </c>
      <c r="H117" s="27"/>
      <c r="I117" s="27"/>
      <c r="J117" s="27"/>
    </row>
  </sheetData>
  <mergeCells count="49">
    <mergeCell ref="E48:E51"/>
    <mergeCell ref="F48:F51"/>
    <mergeCell ref="A5:N5"/>
    <mergeCell ref="A6:N6"/>
    <mergeCell ref="H9:J9"/>
    <mergeCell ref="H10:H11"/>
    <mergeCell ref="I10:I11"/>
    <mergeCell ref="G9:G11"/>
    <mergeCell ref="A9:A11"/>
    <mergeCell ref="B9:B11"/>
    <mergeCell ref="C9:C11"/>
    <mergeCell ref="D9:D11"/>
    <mergeCell ref="E9:E11"/>
    <mergeCell ref="F9:F11"/>
    <mergeCell ref="J10:J11"/>
    <mergeCell ref="K9:N9"/>
    <mergeCell ref="D113:E113"/>
    <mergeCell ref="E76:E77"/>
    <mergeCell ref="F76:F77"/>
    <mergeCell ref="E94:E100"/>
    <mergeCell ref="F94:F100"/>
    <mergeCell ref="E102:E103"/>
    <mergeCell ref="E82:E85"/>
    <mergeCell ref="F82:F85"/>
    <mergeCell ref="E86:E92"/>
    <mergeCell ref="F86:F92"/>
    <mergeCell ref="F105:F106"/>
    <mergeCell ref="F102:F104"/>
    <mergeCell ref="E40:E41"/>
    <mergeCell ref="F40:F41"/>
    <mergeCell ref="E31:E32"/>
    <mergeCell ref="F31:F32"/>
    <mergeCell ref="N10:N11"/>
    <mergeCell ref="K10:K11"/>
    <mergeCell ref="L10:L11"/>
    <mergeCell ref="E35:E36"/>
    <mergeCell ref="F35:F36"/>
    <mergeCell ref="F27:F29"/>
    <mergeCell ref="E70:E72"/>
    <mergeCell ref="F70:F72"/>
    <mergeCell ref="E52:E54"/>
    <mergeCell ref="F52:F54"/>
    <mergeCell ref="E62:E64"/>
    <mergeCell ref="F62:F64"/>
    <mergeCell ref="A37:A39"/>
    <mergeCell ref="B37:B39"/>
    <mergeCell ref="C37:C39"/>
    <mergeCell ref="D37:D39"/>
    <mergeCell ref="F37:F39"/>
  </mergeCells>
  <pageMargins left="0.31496062992125984" right="0.31496062992125984" top="0.35433070866141736" bottom="0.35433070866141736" header="0.11811023622047245" footer="0.11811023622047245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4</vt:lpstr>
      <vt:lpstr>Додаток 5</vt:lpstr>
      <vt:lpstr>Додаток 6</vt:lpstr>
      <vt:lpstr>'Додаток 6'!_Hlk90642476</vt:lpstr>
      <vt:lpstr>'Додаток 1'!Заголовки_для_друку</vt:lpstr>
      <vt:lpstr>'Додаток 2'!Заголовки_для_друку</vt:lpstr>
      <vt:lpstr>'Додаток 4'!Заголовки_для_друку</vt:lpstr>
      <vt:lpstr>'Додаток 5'!Заголовки_для_друку</vt:lpstr>
      <vt:lpstr>'Додаток 6'!Заголовки_для_друку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2025-04-08T10:16:39Z</cp:lastPrinted>
  <dcterms:created xsi:type="dcterms:W3CDTF">2024-11-26T06:56:23Z</dcterms:created>
  <dcterms:modified xsi:type="dcterms:W3CDTF">2025-04-08T10:18:32Z</dcterms:modified>
</cp:coreProperties>
</file>