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3250" windowHeight="13170"/>
  </bookViews>
  <sheets>
    <sheet name="Додаток 1" sheetId="4" r:id="rId1"/>
    <sheet name="Додаток 2" sheetId="8" r:id="rId2"/>
    <sheet name="Додаток 3" sheetId="5" r:id="rId3"/>
    <sheet name="Додаток 4" sheetId="6" r:id="rId4"/>
    <sheet name="Додаток 5" sheetId="7" r:id="rId5"/>
    <sheet name="Додаток 6" sheetId="1" r:id="rId6"/>
  </sheets>
  <definedNames>
    <definedName name="_Hlk90642476" localSheetId="5">'Додаток 6'!$A$79</definedName>
    <definedName name="_xlnm.Print_Titles" localSheetId="0">'Додаток 1'!$8:$8</definedName>
    <definedName name="_xlnm.Print_Titles" localSheetId="1">'Додаток 2'!$8:$8</definedName>
    <definedName name="_xlnm.Print_Titles" localSheetId="3">'Додаток 4'!$6:$10</definedName>
    <definedName name="_xlnm.Print_Titles" localSheetId="4">'Додаток 5'!$39:$39</definedName>
    <definedName name="_xlnm.Print_Titles" localSheetId="5">'Додаток 6'!$12:$12</definedName>
  </definedNames>
  <calcPr calcId="144525" refMode="R1C1"/>
</workbook>
</file>

<file path=xl/calcChain.xml><?xml version="1.0" encoding="utf-8"?>
<calcChain xmlns="http://schemas.openxmlformats.org/spreadsheetml/2006/main">
  <c r="F91" i="6" l="1"/>
  <c r="N91" i="6"/>
  <c r="M91" i="6"/>
  <c r="K91" i="6"/>
  <c r="M116" i="1"/>
  <c r="L116" i="1"/>
  <c r="I116" i="1"/>
  <c r="I27" i="1" l="1"/>
  <c r="F11" i="6" l="1"/>
  <c r="F33" i="6"/>
  <c r="F53" i="6"/>
  <c r="F62" i="6"/>
  <c r="F69" i="6"/>
  <c r="F88" i="6"/>
  <c r="N90" i="6"/>
  <c r="M90" i="6"/>
  <c r="P36" i="6"/>
  <c r="O36" i="6"/>
  <c r="I36" i="6"/>
  <c r="F61" i="6"/>
  <c r="K106" i="1" l="1"/>
  <c r="L106" i="1"/>
  <c r="M106" i="1"/>
  <c r="K78" i="1"/>
  <c r="L78" i="1"/>
  <c r="M78" i="1"/>
  <c r="N78" i="1"/>
  <c r="J70" i="1"/>
  <c r="K70" i="1"/>
  <c r="L70" i="1"/>
  <c r="M70" i="1"/>
  <c r="N70" i="1"/>
  <c r="J63" i="1"/>
  <c r="K63" i="1"/>
  <c r="L63" i="1"/>
  <c r="M63" i="1"/>
  <c r="N63" i="1"/>
  <c r="J59" i="1"/>
  <c r="K59" i="1"/>
  <c r="L59" i="1"/>
  <c r="M59" i="1"/>
  <c r="N59" i="1"/>
  <c r="J47" i="1"/>
  <c r="K47" i="1"/>
  <c r="L47" i="1"/>
  <c r="M47" i="1"/>
  <c r="N47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8" i="1"/>
  <c r="J49" i="1"/>
  <c r="J50" i="1"/>
  <c r="J51" i="1"/>
  <c r="J52" i="1"/>
  <c r="J53" i="1"/>
  <c r="J54" i="1"/>
  <c r="J55" i="1"/>
  <c r="J56" i="1"/>
  <c r="J57" i="1"/>
  <c r="J58" i="1"/>
  <c r="J60" i="1"/>
  <c r="J61" i="1"/>
  <c r="J62" i="1"/>
  <c r="J64" i="1"/>
  <c r="J65" i="1"/>
  <c r="J66" i="1"/>
  <c r="J67" i="1"/>
  <c r="J68" i="1"/>
  <c r="J69" i="1"/>
  <c r="J71" i="1"/>
  <c r="J72" i="1"/>
  <c r="J73" i="1"/>
  <c r="J74" i="1"/>
  <c r="J75" i="1"/>
  <c r="J76" i="1"/>
  <c r="J77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78" i="1" s="1"/>
  <c r="J107" i="1"/>
  <c r="J108" i="1"/>
  <c r="J109" i="1"/>
  <c r="J110" i="1"/>
  <c r="J111" i="1"/>
  <c r="J112" i="1"/>
  <c r="J113" i="1"/>
  <c r="J114" i="1"/>
  <c r="J115" i="1"/>
  <c r="J116" i="1"/>
  <c r="J106" i="1" s="1"/>
  <c r="J117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8" i="1"/>
  <c r="N49" i="1"/>
  <c r="N50" i="1"/>
  <c r="N51" i="1"/>
  <c r="N52" i="1"/>
  <c r="N53" i="1"/>
  <c r="N54" i="1"/>
  <c r="N55" i="1"/>
  <c r="N56" i="1"/>
  <c r="N57" i="1"/>
  <c r="N58" i="1"/>
  <c r="N60" i="1"/>
  <c r="N61" i="1"/>
  <c r="N62" i="1"/>
  <c r="N64" i="1"/>
  <c r="N65" i="1"/>
  <c r="N66" i="1"/>
  <c r="N67" i="1"/>
  <c r="N68" i="1"/>
  <c r="N69" i="1"/>
  <c r="N71" i="1"/>
  <c r="N72" i="1"/>
  <c r="N73" i="1"/>
  <c r="N74" i="1"/>
  <c r="N75" i="1"/>
  <c r="N76" i="1"/>
  <c r="N77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7" i="1"/>
  <c r="N108" i="1"/>
  <c r="N109" i="1"/>
  <c r="N110" i="1"/>
  <c r="N111" i="1"/>
  <c r="N112" i="1"/>
  <c r="N113" i="1"/>
  <c r="N114" i="1"/>
  <c r="N115" i="1"/>
  <c r="N116" i="1"/>
  <c r="N106" i="1" s="1"/>
  <c r="N117" i="1"/>
  <c r="N14" i="1"/>
  <c r="N32" i="6" l="1"/>
  <c r="M32" i="6"/>
  <c r="D77" i="7"/>
  <c r="D74" i="7"/>
  <c r="D41" i="7"/>
  <c r="H116" i="1"/>
  <c r="M110" i="1"/>
  <c r="L110" i="1"/>
  <c r="M109" i="1"/>
  <c r="L109" i="1"/>
  <c r="I109" i="1"/>
  <c r="M93" i="1"/>
  <c r="L93" i="1"/>
  <c r="M95" i="1"/>
  <c r="L95" i="1"/>
  <c r="M64" i="1"/>
  <c r="L64" i="1"/>
  <c r="I64" i="1"/>
  <c r="M50" i="1"/>
  <c r="L50" i="1"/>
  <c r="I50" i="1"/>
  <c r="M33" i="1"/>
  <c r="L33" i="1"/>
  <c r="M31" i="1"/>
  <c r="L31" i="1"/>
  <c r="M28" i="1"/>
  <c r="L28" i="1"/>
  <c r="M29" i="1"/>
  <c r="L29" i="1"/>
  <c r="F36" i="6"/>
  <c r="G36" i="6"/>
  <c r="K90" i="6"/>
  <c r="F90" i="6"/>
  <c r="N78" i="6"/>
  <c r="M78" i="6"/>
  <c r="K78" i="6"/>
  <c r="N79" i="6"/>
  <c r="M79" i="6"/>
  <c r="K79" i="6"/>
  <c r="M84" i="6"/>
  <c r="N84" i="6"/>
  <c r="K84" i="6"/>
  <c r="N56" i="6"/>
  <c r="M56" i="6"/>
  <c r="K56" i="6"/>
  <c r="F56" i="6"/>
  <c r="D52" i="7" l="1"/>
  <c r="G93" i="1"/>
  <c r="G52" i="1"/>
  <c r="N36" i="6" l="1"/>
  <c r="M36" i="6"/>
  <c r="K36" i="6"/>
  <c r="F35" i="6"/>
  <c r="N19" i="6"/>
  <c r="M19" i="6"/>
  <c r="K19" i="6"/>
  <c r="K32" i="6"/>
  <c r="N28" i="6"/>
  <c r="M28" i="6"/>
  <c r="K28" i="6"/>
  <c r="F28" i="6"/>
  <c r="E42" i="8" l="1"/>
  <c r="G76" i="1" l="1"/>
  <c r="D18" i="7" l="1"/>
  <c r="D13" i="7"/>
  <c r="L107" i="1" l="1"/>
  <c r="I107" i="1"/>
  <c r="G66" i="6" l="1"/>
  <c r="G95" i="1" l="1"/>
  <c r="C10" i="4" l="1"/>
  <c r="E10" i="4"/>
  <c r="D10" i="4"/>
  <c r="C12" i="4"/>
  <c r="C11" i="4"/>
  <c r="G33" i="1" l="1"/>
  <c r="G68" i="1"/>
  <c r="F84" i="6" l="1"/>
  <c r="N76" i="6"/>
  <c r="M76" i="6"/>
  <c r="K76" i="6"/>
  <c r="F65" i="6"/>
  <c r="K58" i="6"/>
  <c r="M58" i="6"/>
  <c r="N58" i="6"/>
  <c r="N41" i="6"/>
  <c r="M41" i="6"/>
  <c r="K41" i="6"/>
  <c r="F19" i="6"/>
  <c r="E100" i="8" l="1"/>
  <c r="G100" i="8"/>
  <c r="H100" i="8"/>
  <c r="I100" i="8"/>
  <c r="J100" i="8"/>
  <c r="D100" i="8"/>
  <c r="J108" i="8"/>
  <c r="F108" i="8"/>
  <c r="C108" i="8" s="1"/>
  <c r="F100" i="8" l="1"/>
  <c r="F66" i="6"/>
  <c r="O66" i="6"/>
  <c r="I66" i="6"/>
  <c r="P66" i="6" l="1"/>
  <c r="L19" i="5"/>
  <c r="L18" i="5"/>
  <c r="L31" i="5"/>
  <c r="L32" i="5"/>
  <c r="L28" i="5"/>
  <c r="L13" i="1" l="1"/>
  <c r="K13" i="1"/>
  <c r="H63" i="1"/>
  <c r="H59" i="1"/>
  <c r="H70" i="1"/>
  <c r="H78" i="1"/>
  <c r="H106" i="1"/>
  <c r="D80" i="7" l="1"/>
  <c r="J107" i="8" l="1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5" i="8"/>
  <c r="J89" i="8"/>
  <c r="J93" i="8"/>
  <c r="J94" i="8"/>
  <c r="J95" i="8"/>
  <c r="J96" i="8"/>
  <c r="J97" i="8"/>
  <c r="J99" i="8"/>
  <c r="J101" i="8"/>
  <c r="J102" i="8"/>
  <c r="J103" i="8"/>
  <c r="J104" i="8"/>
  <c r="J105" i="8"/>
  <c r="J106" i="8"/>
  <c r="J109" i="8"/>
  <c r="J111" i="8"/>
  <c r="J9" i="8"/>
  <c r="F93" i="8"/>
  <c r="F94" i="8"/>
  <c r="F95" i="8"/>
  <c r="F96" i="8"/>
  <c r="F97" i="8"/>
  <c r="F111" i="8"/>
  <c r="I110" i="8"/>
  <c r="H110" i="8"/>
  <c r="G110" i="8"/>
  <c r="J110" i="8" s="1"/>
  <c r="E110" i="8"/>
  <c r="D110" i="8"/>
  <c r="F110" i="8" s="1"/>
  <c r="C111" i="8" l="1"/>
  <c r="C110" i="8"/>
  <c r="O98" i="6"/>
  <c r="P98" i="6" s="1"/>
  <c r="D72" i="8" l="1"/>
  <c r="E72" i="8"/>
  <c r="G72" i="8"/>
  <c r="H72" i="8"/>
  <c r="I72" i="8"/>
  <c r="F68" i="8"/>
  <c r="F71" i="8"/>
  <c r="E67" i="8"/>
  <c r="G67" i="8"/>
  <c r="H67" i="8"/>
  <c r="I67" i="8"/>
  <c r="D67" i="8"/>
  <c r="F64" i="8"/>
  <c r="G45" i="1"/>
  <c r="F72" i="8" l="1"/>
  <c r="C71" i="8"/>
  <c r="C68" i="8"/>
  <c r="F67" i="8"/>
  <c r="C64" i="8"/>
  <c r="G98" i="1" l="1"/>
  <c r="O85" i="6"/>
  <c r="I85" i="6"/>
  <c r="P85" i="6" l="1"/>
  <c r="F109" i="8" l="1"/>
  <c r="C109" i="8" s="1"/>
  <c r="F107" i="8"/>
  <c r="F106" i="8"/>
  <c r="F105" i="8"/>
  <c r="F104" i="8"/>
  <c r="F103" i="8"/>
  <c r="F102" i="8"/>
  <c r="I101" i="8"/>
  <c r="I98" i="8" s="1"/>
  <c r="H101" i="8"/>
  <c r="H98" i="8" s="1"/>
  <c r="G101" i="8"/>
  <c r="E101" i="8"/>
  <c r="E98" i="8" s="1"/>
  <c r="D101" i="8"/>
  <c r="F99" i="8"/>
  <c r="I93" i="8"/>
  <c r="H93" i="8"/>
  <c r="G93" i="8"/>
  <c r="E93" i="8"/>
  <c r="D93" i="8"/>
  <c r="F89" i="8"/>
  <c r="I88" i="8"/>
  <c r="I87" i="8" s="1"/>
  <c r="I86" i="8" s="1"/>
  <c r="H88" i="8"/>
  <c r="H87" i="8" s="1"/>
  <c r="H86" i="8" s="1"/>
  <c r="G88" i="8"/>
  <c r="E88" i="8"/>
  <c r="D88" i="8"/>
  <c r="D87" i="8" s="1"/>
  <c r="D86" i="8" s="1"/>
  <c r="F85" i="8"/>
  <c r="I84" i="8"/>
  <c r="I83" i="8" s="1"/>
  <c r="H84" i="8"/>
  <c r="H83" i="8" s="1"/>
  <c r="G84" i="8"/>
  <c r="E84" i="8"/>
  <c r="E83" i="8" s="1"/>
  <c r="D84" i="8"/>
  <c r="F82" i="8"/>
  <c r="F81" i="8"/>
  <c r="F80" i="8"/>
  <c r="I79" i="8"/>
  <c r="I78" i="8" s="1"/>
  <c r="H79" i="8"/>
  <c r="H78" i="8" s="1"/>
  <c r="G79" i="8"/>
  <c r="G78" i="8" s="1"/>
  <c r="E79" i="8"/>
  <c r="D79" i="8"/>
  <c r="D78" i="8" s="1"/>
  <c r="F77" i="8"/>
  <c r="F76" i="8"/>
  <c r="F75" i="8"/>
  <c r="I74" i="8"/>
  <c r="H74" i="8"/>
  <c r="G74" i="8"/>
  <c r="E74" i="8"/>
  <c r="D74" i="8"/>
  <c r="C72" i="8"/>
  <c r="F73" i="8"/>
  <c r="F70" i="8"/>
  <c r="C70" i="8" s="1"/>
  <c r="F69" i="8"/>
  <c r="F65" i="8"/>
  <c r="F63" i="8"/>
  <c r="I62" i="8"/>
  <c r="H62" i="8"/>
  <c r="G62" i="8"/>
  <c r="E62" i="8"/>
  <c r="D62" i="8"/>
  <c r="F61" i="8"/>
  <c r="I60" i="8"/>
  <c r="H60" i="8"/>
  <c r="G60" i="8"/>
  <c r="E60" i="8"/>
  <c r="D60" i="8"/>
  <c r="F57" i="8"/>
  <c r="F56" i="8"/>
  <c r="F55" i="8"/>
  <c r="I54" i="8"/>
  <c r="I53" i="8" s="1"/>
  <c r="H54" i="8"/>
  <c r="H53" i="8" s="1"/>
  <c r="G54" i="8"/>
  <c r="G53" i="8" s="1"/>
  <c r="E54" i="8"/>
  <c r="E53" i="8" s="1"/>
  <c r="D54" i="8"/>
  <c r="D53" i="8" s="1"/>
  <c r="F52" i="8"/>
  <c r="F51" i="8"/>
  <c r="F50" i="8"/>
  <c r="I49" i="8"/>
  <c r="H49" i="8"/>
  <c r="G49" i="8"/>
  <c r="E49" i="8"/>
  <c r="D49" i="8"/>
  <c r="F48" i="8"/>
  <c r="F47" i="8"/>
  <c r="I46" i="8"/>
  <c r="H46" i="8"/>
  <c r="G46" i="8"/>
  <c r="E46" i="8"/>
  <c r="D46" i="8"/>
  <c r="F45" i="8"/>
  <c r="F44" i="8"/>
  <c r="F43" i="8"/>
  <c r="F42" i="8"/>
  <c r="F41" i="8"/>
  <c r="F40" i="8"/>
  <c r="F39" i="8"/>
  <c r="I38" i="8"/>
  <c r="H38" i="8"/>
  <c r="G38" i="8"/>
  <c r="E38" i="8"/>
  <c r="D38" i="8"/>
  <c r="F36" i="8"/>
  <c r="F35" i="8"/>
  <c r="I34" i="8"/>
  <c r="H34" i="8"/>
  <c r="G34" i="8"/>
  <c r="E34" i="8"/>
  <c r="D34" i="8"/>
  <c r="F33" i="8"/>
  <c r="I32" i="8"/>
  <c r="H32" i="8"/>
  <c r="G32" i="8"/>
  <c r="E32" i="8"/>
  <c r="D32" i="8"/>
  <c r="F31" i="8"/>
  <c r="I30" i="8"/>
  <c r="H30" i="8"/>
  <c r="G30" i="8"/>
  <c r="E30" i="8"/>
  <c r="D30" i="8"/>
  <c r="F28" i="8"/>
  <c r="I27" i="8"/>
  <c r="H27" i="8"/>
  <c r="G27" i="8"/>
  <c r="E27" i="8"/>
  <c r="D27" i="8"/>
  <c r="F26" i="8"/>
  <c r="F25" i="8"/>
  <c r="F24" i="8"/>
  <c r="I23" i="8"/>
  <c r="H23" i="8"/>
  <c r="G23" i="8"/>
  <c r="E23" i="8"/>
  <c r="D23" i="8"/>
  <c r="F22" i="8"/>
  <c r="F21" i="8"/>
  <c r="I20" i="8"/>
  <c r="H20" i="8"/>
  <c r="G20" i="8"/>
  <c r="E20" i="8"/>
  <c r="D20" i="8"/>
  <c r="F18" i="8"/>
  <c r="I17" i="8"/>
  <c r="H17" i="8"/>
  <c r="G17" i="8"/>
  <c r="E17" i="8"/>
  <c r="D17" i="8"/>
  <c r="F16" i="8"/>
  <c r="F15" i="8"/>
  <c r="F14" i="8"/>
  <c r="C14" i="8" s="1"/>
  <c r="F13" i="8"/>
  <c r="F12" i="8"/>
  <c r="I11" i="8"/>
  <c r="H11" i="8"/>
  <c r="G11" i="8"/>
  <c r="E11" i="8"/>
  <c r="D11" i="8"/>
  <c r="G87" i="8" l="1"/>
  <c r="J88" i="8"/>
  <c r="G83" i="8"/>
  <c r="J83" i="8" s="1"/>
  <c r="J84" i="8"/>
  <c r="D10" i="8"/>
  <c r="F38" i="8"/>
  <c r="C103" i="8"/>
  <c r="C107" i="8"/>
  <c r="C25" i="8"/>
  <c r="F11" i="8"/>
  <c r="F84" i="8"/>
  <c r="F30" i="8"/>
  <c r="C30" i="8" s="1"/>
  <c r="C67" i="8"/>
  <c r="C12" i="8"/>
  <c r="C16" i="8"/>
  <c r="C39" i="8"/>
  <c r="C43" i="8"/>
  <c r="C77" i="8"/>
  <c r="C13" i="8"/>
  <c r="C28" i="8"/>
  <c r="C44" i="8"/>
  <c r="C95" i="8"/>
  <c r="G29" i="8"/>
  <c r="C15" i="8"/>
  <c r="C18" i="8"/>
  <c r="G59" i="8"/>
  <c r="C45" i="8"/>
  <c r="C50" i="8"/>
  <c r="H66" i="8"/>
  <c r="C82" i="8"/>
  <c r="C106" i="8"/>
  <c r="C75" i="8"/>
  <c r="E92" i="8"/>
  <c r="E91" i="8" s="1"/>
  <c r="F23" i="8"/>
  <c r="C63" i="8"/>
  <c r="F17" i="8"/>
  <c r="F20" i="8"/>
  <c r="C24" i="8"/>
  <c r="C35" i="8"/>
  <c r="H92" i="8"/>
  <c r="H91" i="8" s="1"/>
  <c r="I92" i="8"/>
  <c r="I91" i="8" s="1"/>
  <c r="E10" i="8"/>
  <c r="F10" i="8" s="1"/>
  <c r="C76" i="8"/>
  <c r="C99" i="8"/>
  <c r="G10" i="8"/>
  <c r="G37" i="8"/>
  <c r="C52" i="8"/>
  <c r="D59" i="8"/>
  <c r="C80" i="8"/>
  <c r="C26" i="8"/>
  <c r="F32" i="8"/>
  <c r="C32" i="8" s="1"/>
  <c r="D37" i="8"/>
  <c r="C40" i="8"/>
  <c r="H37" i="8"/>
  <c r="E59" i="8"/>
  <c r="C65" i="8"/>
  <c r="G66" i="8"/>
  <c r="C96" i="8"/>
  <c r="C100" i="8"/>
  <c r="C21" i="8"/>
  <c r="C55" i="8"/>
  <c r="D19" i="8"/>
  <c r="C48" i="8"/>
  <c r="C56" i="8"/>
  <c r="C85" i="8"/>
  <c r="C105" i="8"/>
  <c r="I59" i="8"/>
  <c r="F53" i="8"/>
  <c r="C33" i="8"/>
  <c r="C31" i="8"/>
  <c r="C94" i="8"/>
  <c r="F101" i="8"/>
  <c r="C101" i="8" s="1"/>
  <c r="C41" i="8"/>
  <c r="I37" i="8"/>
  <c r="C69" i="8"/>
  <c r="F79" i="8"/>
  <c r="C97" i="8"/>
  <c r="F54" i="8"/>
  <c r="D83" i="8"/>
  <c r="F83" i="8" s="1"/>
  <c r="C83" i="8" s="1"/>
  <c r="F88" i="8"/>
  <c r="C88" i="8" s="1"/>
  <c r="H10" i="8"/>
  <c r="F60" i="8"/>
  <c r="C60" i="8" s="1"/>
  <c r="F62" i="8"/>
  <c r="C62" i="8" s="1"/>
  <c r="D66" i="8"/>
  <c r="E78" i="8"/>
  <c r="F78" i="8" s="1"/>
  <c r="C104" i="8"/>
  <c r="C84" i="8"/>
  <c r="I10" i="8"/>
  <c r="H19" i="8"/>
  <c r="I19" i="8"/>
  <c r="H29" i="8"/>
  <c r="I66" i="8"/>
  <c r="F27" i="8"/>
  <c r="G19" i="8"/>
  <c r="I29" i="8"/>
  <c r="F49" i="8"/>
  <c r="C51" i="8"/>
  <c r="C57" i="8"/>
  <c r="H59" i="8"/>
  <c r="E66" i="8"/>
  <c r="F74" i="8"/>
  <c r="C74" i="8" s="1"/>
  <c r="C81" i="8"/>
  <c r="G98" i="8"/>
  <c r="C102" i="8"/>
  <c r="F34" i="8"/>
  <c r="E29" i="8"/>
  <c r="E37" i="8"/>
  <c r="C42" i="8"/>
  <c r="C17" i="8"/>
  <c r="E19" i="8"/>
  <c r="C22" i="8"/>
  <c r="D29" i="8"/>
  <c r="C36" i="8"/>
  <c r="C47" i="8"/>
  <c r="C61" i="8"/>
  <c r="C73" i="8"/>
  <c r="C89" i="8"/>
  <c r="D98" i="8"/>
  <c r="D92" i="8" s="1"/>
  <c r="E87" i="8"/>
  <c r="F46" i="8"/>
  <c r="C46" i="8" s="1"/>
  <c r="D79" i="7"/>
  <c r="D78" i="7" s="1"/>
  <c r="G92" i="8" l="1"/>
  <c r="J98" i="8"/>
  <c r="G86" i="8"/>
  <c r="J86" i="8" s="1"/>
  <c r="J87" i="8"/>
  <c r="F92" i="8"/>
  <c r="D91" i="8"/>
  <c r="F91" i="8" s="1"/>
  <c r="F98" i="8"/>
  <c r="C98" i="8" s="1"/>
  <c r="F59" i="8"/>
  <c r="C59" i="8" s="1"/>
  <c r="C23" i="8"/>
  <c r="C38" i="8"/>
  <c r="F37" i="8"/>
  <c r="C34" i="8"/>
  <c r="I9" i="8"/>
  <c r="H58" i="8"/>
  <c r="C27" i="8"/>
  <c r="F66" i="8"/>
  <c r="C66" i="8" s="1"/>
  <c r="C54" i="8"/>
  <c r="G58" i="8"/>
  <c r="J58" i="8" s="1"/>
  <c r="D58" i="8"/>
  <c r="C49" i="8"/>
  <c r="C53" i="8"/>
  <c r="G9" i="8"/>
  <c r="E58" i="8"/>
  <c r="F29" i="8"/>
  <c r="C29" i="8" s="1"/>
  <c r="C93" i="8"/>
  <c r="C11" i="8"/>
  <c r="C20" i="8"/>
  <c r="I58" i="8"/>
  <c r="H9" i="8"/>
  <c r="C10" i="8"/>
  <c r="D9" i="8"/>
  <c r="D90" i="8" s="1"/>
  <c r="E9" i="8"/>
  <c r="C79" i="8"/>
  <c r="C78" i="8"/>
  <c r="E86" i="8"/>
  <c r="F86" i="8" s="1"/>
  <c r="C86" i="8" s="1"/>
  <c r="F87" i="8"/>
  <c r="C87" i="8" s="1"/>
  <c r="F19" i="8"/>
  <c r="J92" i="8" l="1"/>
  <c r="G91" i="8"/>
  <c r="J91" i="8" s="1"/>
  <c r="I90" i="8"/>
  <c r="I112" i="8" s="1"/>
  <c r="H90" i="8"/>
  <c r="H112" i="8" s="1"/>
  <c r="C19" i="8"/>
  <c r="C92" i="8"/>
  <c r="G90" i="8"/>
  <c r="C91" i="8"/>
  <c r="C37" i="8"/>
  <c r="F58" i="8"/>
  <c r="C58" i="8" s="1"/>
  <c r="F9" i="8"/>
  <c r="C9" i="8" s="1"/>
  <c r="E90" i="8"/>
  <c r="E112" i="8" s="1"/>
  <c r="D112" i="8"/>
  <c r="J14" i="1"/>
  <c r="E15" i="5"/>
  <c r="E16" i="5"/>
  <c r="F17" i="5"/>
  <c r="G17" i="5"/>
  <c r="D18" i="5"/>
  <c r="E18" i="5" s="1"/>
  <c r="G112" i="8" l="1"/>
  <c r="J90" i="8"/>
  <c r="J112" i="8"/>
  <c r="F90" i="8"/>
  <c r="C90" i="8" s="1"/>
  <c r="F112" i="8" l="1"/>
  <c r="C112" i="8" s="1"/>
  <c r="D29" i="7"/>
  <c r="D28" i="7" s="1"/>
  <c r="G114" i="1" l="1"/>
  <c r="G28" i="1"/>
  <c r="G92" i="1"/>
  <c r="G91" i="1"/>
  <c r="G53" i="1"/>
  <c r="G51" i="1"/>
  <c r="G50" i="1"/>
  <c r="G49" i="1"/>
  <c r="G15" i="1" l="1"/>
  <c r="O76" i="6"/>
  <c r="I76" i="6"/>
  <c r="P76" i="6" l="1"/>
  <c r="O47" i="6"/>
  <c r="I47" i="6"/>
  <c r="G57" i="1" l="1"/>
  <c r="P47" i="6"/>
  <c r="D33" i="7" l="1"/>
  <c r="D32" i="7" l="1"/>
  <c r="D31" i="7" s="1"/>
  <c r="K53" i="6"/>
  <c r="K69" i="6"/>
  <c r="K88" i="6"/>
  <c r="G53" i="6"/>
  <c r="H53" i="6"/>
  <c r="G109" i="1"/>
  <c r="O92" i="6"/>
  <c r="I92" i="6"/>
  <c r="O84" i="6"/>
  <c r="I84" i="6"/>
  <c r="G97" i="1"/>
  <c r="I63" i="1"/>
  <c r="G29" i="1"/>
  <c r="P92" i="6" l="1"/>
  <c r="G113" i="1"/>
  <c r="G115" i="1"/>
  <c r="G90" i="1"/>
  <c r="P84" i="6"/>
  <c r="G64" i="1"/>
  <c r="G89" i="1"/>
  <c r="G110" i="1"/>
  <c r="G96" i="1"/>
  <c r="G94" i="1"/>
  <c r="I86" i="6" l="1"/>
  <c r="P86" i="6" s="1"/>
  <c r="G81" i="1" l="1"/>
  <c r="G39" i="1"/>
  <c r="C19" i="5" l="1"/>
  <c r="G44" i="1" l="1"/>
  <c r="O60" i="6" l="1"/>
  <c r="I60" i="6"/>
  <c r="P60" i="6" l="1"/>
  <c r="G112" i="1"/>
  <c r="G116" i="1"/>
  <c r="G65" i="1"/>
  <c r="G66" i="1"/>
  <c r="G69" i="1"/>
  <c r="G62" i="1" l="1"/>
  <c r="G74" i="1"/>
  <c r="G73" i="1"/>
  <c r="G72" i="1"/>
  <c r="L22" i="5" l="1"/>
  <c r="H18" i="5"/>
  <c r="H31" i="5"/>
  <c r="H32" i="5"/>
  <c r="C22" i="5"/>
  <c r="E13" i="5"/>
  <c r="E14" i="5"/>
  <c r="E22" i="5"/>
  <c r="E23" i="5"/>
  <c r="E24" i="5"/>
  <c r="E25" i="5"/>
  <c r="E26" i="5"/>
  <c r="E27" i="5"/>
  <c r="E28" i="5"/>
  <c r="C13" i="5"/>
  <c r="C14" i="5"/>
  <c r="C15" i="5"/>
  <c r="C16" i="5"/>
  <c r="C18" i="5"/>
  <c r="C23" i="5"/>
  <c r="C24" i="5"/>
  <c r="C25" i="5"/>
  <c r="C26" i="5"/>
  <c r="C27" i="5"/>
  <c r="C28" i="5"/>
  <c r="C31" i="5"/>
  <c r="C32" i="5"/>
  <c r="H30" i="5" l="1"/>
  <c r="G54" i="1" l="1"/>
  <c r="G55" i="1"/>
  <c r="G85" i="1"/>
  <c r="G56" i="1"/>
  <c r="G43" i="1"/>
  <c r="G87" i="1"/>
  <c r="G86" i="1"/>
  <c r="G46" i="1"/>
  <c r="G32" i="1"/>
  <c r="G88" i="1"/>
  <c r="G40" i="1"/>
  <c r="G41" i="1"/>
  <c r="G42" i="1"/>
  <c r="I78" i="1"/>
  <c r="I42" i="6"/>
  <c r="O42" i="6"/>
  <c r="K33" i="6"/>
  <c r="N33" i="6"/>
  <c r="O48" i="6"/>
  <c r="I48" i="6"/>
  <c r="L33" i="6"/>
  <c r="O87" i="6"/>
  <c r="I87" i="6"/>
  <c r="I68" i="6"/>
  <c r="O67" i="6"/>
  <c r="O68" i="6"/>
  <c r="G69" i="6"/>
  <c r="L69" i="6"/>
  <c r="N69" i="6"/>
  <c r="M69" i="6"/>
  <c r="O75" i="6"/>
  <c r="I75" i="6"/>
  <c r="P42" i="6" l="1"/>
  <c r="P87" i="6"/>
  <c r="P75" i="6"/>
  <c r="M33" i="6"/>
  <c r="P48" i="6"/>
  <c r="O31" i="6" l="1"/>
  <c r="O32" i="6"/>
  <c r="I12" i="6"/>
  <c r="K11" i="6"/>
  <c r="L11" i="6"/>
  <c r="M11" i="6"/>
  <c r="N11" i="6"/>
  <c r="I31" i="6"/>
  <c r="I32" i="6"/>
  <c r="G33" i="6"/>
  <c r="G11" i="6"/>
  <c r="H11" i="6"/>
  <c r="H33" i="6"/>
  <c r="P31" i="6" l="1"/>
  <c r="H69" i="6"/>
  <c r="P32" i="6"/>
  <c r="I47" i="1"/>
  <c r="H47" i="1"/>
  <c r="I91" i="6"/>
  <c r="O91" i="6"/>
  <c r="G48" i="1" l="1"/>
  <c r="G37" i="1"/>
  <c r="G108" i="1"/>
  <c r="G38" i="1"/>
  <c r="P91" i="6"/>
  <c r="I25" i="6" l="1"/>
  <c r="P25" i="6" s="1"/>
  <c r="I13" i="1" l="1"/>
  <c r="G27" i="1"/>
  <c r="G16" i="1"/>
  <c r="G19" i="1"/>
  <c r="G31" i="1"/>
  <c r="G63" i="1"/>
  <c r="G117" i="1"/>
  <c r="G14" i="1"/>
  <c r="I106" i="1"/>
  <c r="I70" i="1"/>
  <c r="I59" i="1"/>
  <c r="M13" i="1"/>
  <c r="N13" i="1" l="1"/>
  <c r="G18" i="1"/>
  <c r="G105" i="1"/>
  <c r="G104" i="1"/>
  <c r="G47" i="1"/>
  <c r="G58" i="1"/>
  <c r="G67" i="1"/>
  <c r="G60" i="1"/>
  <c r="G61" i="1"/>
  <c r="G20" i="1"/>
  <c r="G84" i="1"/>
  <c r="G83" i="1"/>
  <c r="G30" i="1"/>
  <c r="G26" i="1"/>
  <c r="G102" i="1"/>
  <c r="G25" i="1"/>
  <c r="G34" i="1"/>
  <c r="G22" i="1"/>
  <c r="G82" i="1"/>
  <c r="G101" i="1"/>
  <c r="G77" i="1"/>
  <c r="M118" i="1"/>
  <c r="G107" i="1"/>
  <c r="I118" i="1"/>
  <c r="G79" i="1"/>
  <c r="G103" i="1"/>
  <c r="G80" i="1"/>
  <c r="G100" i="1"/>
  <c r="G75" i="1"/>
  <c r="G36" i="1"/>
  <c r="G24" i="1"/>
  <c r="G111" i="1"/>
  <c r="G99" i="1"/>
  <c r="G71" i="1"/>
  <c r="G35" i="1"/>
  <c r="G23" i="1"/>
  <c r="L118" i="1"/>
  <c r="O45" i="6"/>
  <c r="I45" i="6"/>
  <c r="N118" i="1" l="1"/>
  <c r="G59" i="1"/>
  <c r="G70" i="1"/>
  <c r="G78" i="1"/>
  <c r="G106" i="1"/>
  <c r="P45" i="6"/>
  <c r="L15" i="5"/>
  <c r="L16" i="5"/>
  <c r="L25" i="5"/>
  <c r="I17" i="5"/>
  <c r="K17" i="5"/>
  <c r="F30" i="5"/>
  <c r="G30" i="5"/>
  <c r="I30" i="5"/>
  <c r="J30" i="5"/>
  <c r="K30" i="5"/>
  <c r="J17" i="5"/>
  <c r="D15" i="5"/>
  <c r="D16" i="5"/>
  <c r="D19" i="5"/>
  <c r="E19" i="5" s="1"/>
  <c r="D25" i="5"/>
  <c r="D28" i="5"/>
  <c r="D31" i="5"/>
  <c r="E31" i="5" s="1"/>
  <c r="D32" i="5"/>
  <c r="E32" i="5" s="1"/>
  <c r="L30" i="5" l="1"/>
  <c r="C30" i="5"/>
  <c r="C17" i="5"/>
  <c r="L17" i="5"/>
  <c r="D30" i="5"/>
  <c r="D17" i="5"/>
  <c r="E17" i="5" s="1"/>
  <c r="E30" i="5" l="1"/>
  <c r="I13" i="6" l="1"/>
  <c r="I14" i="6"/>
  <c r="I15" i="6"/>
  <c r="I16" i="6"/>
  <c r="I17" i="6"/>
  <c r="I18" i="6"/>
  <c r="I20" i="6"/>
  <c r="I21" i="6"/>
  <c r="I23" i="6"/>
  <c r="I24" i="6"/>
  <c r="I27" i="6"/>
  <c r="I28" i="6"/>
  <c r="I29" i="6"/>
  <c r="I30" i="6"/>
  <c r="I34" i="6"/>
  <c r="I37" i="6"/>
  <c r="I38" i="6"/>
  <c r="I39" i="6"/>
  <c r="I40" i="6"/>
  <c r="I41" i="6"/>
  <c r="I43" i="6"/>
  <c r="I44" i="6"/>
  <c r="I46" i="6"/>
  <c r="I50" i="6"/>
  <c r="I52" i="6"/>
  <c r="I54" i="6"/>
  <c r="I55" i="6"/>
  <c r="I56" i="6"/>
  <c r="I57" i="6"/>
  <c r="I59" i="6"/>
  <c r="I61" i="6"/>
  <c r="I63" i="6"/>
  <c r="I64" i="6"/>
  <c r="I65" i="6"/>
  <c r="I67" i="6"/>
  <c r="P67" i="6" s="1"/>
  <c r="I71" i="6"/>
  <c r="I72" i="6"/>
  <c r="I73" i="6"/>
  <c r="I74" i="6"/>
  <c r="I78" i="6"/>
  <c r="I79" i="6"/>
  <c r="I80" i="6"/>
  <c r="I81" i="6"/>
  <c r="I82" i="6"/>
  <c r="I83" i="6"/>
  <c r="I89" i="6"/>
  <c r="I93" i="6"/>
  <c r="I95" i="6"/>
  <c r="I96" i="6"/>
  <c r="I97" i="6"/>
  <c r="I99" i="6"/>
  <c r="O12" i="6"/>
  <c r="O13" i="6"/>
  <c r="O14" i="6"/>
  <c r="O15" i="6"/>
  <c r="O16" i="6"/>
  <c r="O17" i="6"/>
  <c r="O18" i="6"/>
  <c r="O20" i="6"/>
  <c r="O21" i="6"/>
  <c r="O22" i="6"/>
  <c r="O23" i="6"/>
  <c r="O24" i="6"/>
  <c r="O26" i="6"/>
  <c r="O27" i="6"/>
  <c r="O28" i="6"/>
  <c r="O29" i="6"/>
  <c r="O30" i="6"/>
  <c r="O34" i="6"/>
  <c r="O38" i="6"/>
  <c r="O39" i="6"/>
  <c r="O40" i="6"/>
  <c r="O41" i="6"/>
  <c r="O43" i="6"/>
  <c r="O44" i="6"/>
  <c r="O46" i="6"/>
  <c r="O50" i="6"/>
  <c r="O51" i="6"/>
  <c r="O52" i="6"/>
  <c r="O54" i="6"/>
  <c r="O57" i="6"/>
  <c r="O59" i="6"/>
  <c r="O61" i="6"/>
  <c r="O63" i="6"/>
  <c r="O64" i="6"/>
  <c r="O70" i="6"/>
  <c r="O71" i="6"/>
  <c r="O72" i="6"/>
  <c r="O74" i="6"/>
  <c r="O77" i="6"/>
  <c r="O78" i="6"/>
  <c r="O79" i="6"/>
  <c r="O80" i="6"/>
  <c r="O81" i="6"/>
  <c r="P81" i="6" s="1"/>
  <c r="O82" i="6"/>
  <c r="O83" i="6"/>
  <c r="O89" i="6"/>
  <c r="O93" i="6"/>
  <c r="O95" i="6"/>
  <c r="P95" i="6" s="1"/>
  <c r="O96" i="6"/>
  <c r="P96" i="6" s="1"/>
  <c r="O97" i="6"/>
  <c r="O99" i="6"/>
  <c r="P99" i="6" s="1"/>
  <c r="P93" i="6" l="1"/>
  <c r="P24" i="6"/>
  <c r="P23" i="6"/>
  <c r="P38" i="6"/>
  <c r="P63" i="6"/>
  <c r="P21" i="6"/>
  <c r="P12" i="6"/>
  <c r="P29" i="6"/>
  <c r="P72" i="6"/>
  <c r="P82" i="6"/>
  <c r="P71" i="6"/>
  <c r="P13" i="6"/>
  <c r="P30" i="6"/>
  <c r="P79" i="6"/>
  <c r="P54" i="6"/>
  <c r="P15" i="6"/>
  <c r="P43" i="6"/>
  <c r="P40" i="6"/>
  <c r="P78" i="6"/>
  <c r="P34" i="6"/>
  <c r="P20" i="6"/>
  <c r="P59" i="6"/>
  <c r="P39" i="6"/>
  <c r="P28" i="6"/>
  <c r="P68" i="6"/>
  <c r="P50" i="6"/>
  <c r="P27" i="6"/>
  <c r="P18" i="6"/>
  <c r="P89" i="6"/>
  <c r="P57" i="6"/>
  <c r="P17" i="6"/>
  <c r="P74" i="6"/>
  <c r="P46" i="6"/>
  <c r="P16" i="6"/>
  <c r="P97" i="6"/>
  <c r="P83" i="6"/>
  <c r="P64" i="6"/>
  <c r="P44" i="6"/>
  <c r="P14" i="6"/>
  <c r="P80" i="6"/>
  <c r="P61" i="6"/>
  <c r="P52" i="6"/>
  <c r="P41" i="6"/>
  <c r="G21" i="1"/>
  <c r="I29" i="5" l="1"/>
  <c r="J29" i="5"/>
  <c r="K29" i="5"/>
  <c r="G29" i="5"/>
  <c r="K26" i="5"/>
  <c r="F27" i="5"/>
  <c r="F26" i="5" s="1"/>
  <c r="G27" i="5"/>
  <c r="J27" i="5"/>
  <c r="J26" i="5" s="1"/>
  <c r="K27" i="5"/>
  <c r="F24" i="5"/>
  <c r="F23" i="5" s="1"/>
  <c r="G24" i="5"/>
  <c r="J24" i="5"/>
  <c r="J23" i="5" s="1"/>
  <c r="K24" i="5"/>
  <c r="K23" i="5" s="1"/>
  <c r="J12" i="5"/>
  <c r="G14" i="5"/>
  <c r="D14" i="5" s="1"/>
  <c r="I14" i="5"/>
  <c r="J14" i="5"/>
  <c r="K14" i="5"/>
  <c r="K13" i="5" s="1"/>
  <c r="K12" i="5" s="1"/>
  <c r="K20" i="5" s="1"/>
  <c r="J13" i="5"/>
  <c r="H15" i="5"/>
  <c r="H16" i="5"/>
  <c r="H19" i="5"/>
  <c r="H25" i="5"/>
  <c r="H28" i="5"/>
  <c r="L29" i="5" l="1"/>
  <c r="J20" i="5"/>
  <c r="J22" i="5"/>
  <c r="H27" i="5"/>
  <c r="H26" i="5" s="1"/>
  <c r="D24" i="5"/>
  <c r="D27" i="5"/>
  <c r="H17" i="5"/>
  <c r="G26" i="5"/>
  <c r="G13" i="5"/>
  <c r="D13" i="5" s="1"/>
  <c r="G23" i="5"/>
  <c r="D23" i="5" s="1"/>
  <c r="I13" i="5"/>
  <c r="L13" i="5" s="1"/>
  <c r="L14" i="5"/>
  <c r="J33" i="5"/>
  <c r="D29" i="5"/>
  <c r="H24" i="5"/>
  <c r="H14" i="5"/>
  <c r="H13" i="5" s="1"/>
  <c r="K22" i="5"/>
  <c r="K33" i="5" s="1"/>
  <c r="F94" i="6"/>
  <c r="G94" i="6"/>
  <c r="H94" i="6"/>
  <c r="J94" i="6"/>
  <c r="K94" i="6"/>
  <c r="L94" i="6"/>
  <c r="M94" i="6"/>
  <c r="N94" i="6"/>
  <c r="G88" i="6"/>
  <c r="H88" i="6"/>
  <c r="L88" i="6"/>
  <c r="M88" i="6"/>
  <c r="N88" i="6"/>
  <c r="G62" i="6"/>
  <c r="H62" i="6"/>
  <c r="K62" i="6"/>
  <c r="L62" i="6"/>
  <c r="M62" i="6"/>
  <c r="N62" i="6"/>
  <c r="L53" i="6"/>
  <c r="M53" i="6"/>
  <c r="N53" i="6"/>
  <c r="F49" i="6"/>
  <c r="G49" i="6"/>
  <c r="H49" i="6"/>
  <c r="J49" i="6"/>
  <c r="K49" i="6"/>
  <c r="L49" i="6"/>
  <c r="M49" i="6"/>
  <c r="N49" i="6"/>
  <c r="H12" i="5" l="1"/>
  <c r="H20" i="5" s="1"/>
  <c r="I12" i="5"/>
  <c r="H23" i="5"/>
  <c r="H22" i="5" s="1"/>
  <c r="G22" i="5"/>
  <c r="D26" i="5"/>
  <c r="G12" i="5"/>
  <c r="H29" i="5"/>
  <c r="H33" i="5" s="1"/>
  <c r="O94" i="6"/>
  <c r="O49" i="6"/>
  <c r="I20" i="5" l="1"/>
  <c r="L20" i="5" s="1"/>
  <c r="L12" i="5"/>
  <c r="G20" i="5"/>
  <c r="D20" i="5" s="1"/>
  <c r="D12" i="5"/>
  <c r="D22" i="5"/>
  <c r="G33" i="5"/>
  <c r="D33" i="5" s="1"/>
  <c r="H13" i="1" l="1"/>
  <c r="H118" i="1" s="1"/>
  <c r="K118" i="1"/>
  <c r="J13" i="1" l="1"/>
  <c r="G17" i="1"/>
  <c r="O58" i="6"/>
  <c r="I58" i="6"/>
  <c r="G13" i="1" l="1"/>
  <c r="G118" i="1" s="1"/>
  <c r="J118" i="1"/>
  <c r="P58" i="6"/>
  <c r="E33" i="6"/>
  <c r="J69" i="6"/>
  <c r="O69" i="6" s="1"/>
  <c r="O73" i="6" l="1"/>
  <c r="P73" i="6" s="1"/>
  <c r="I35" i="6"/>
  <c r="I33" i="6" s="1"/>
  <c r="J55" i="6"/>
  <c r="O55" i="6" s="1"/>
  <c r="P55" i="6" s="1"/>
  <c r="O56" i="6"/>
  <c r="P56" i="6" s="1"/>
  <c r="J37" i="6"/>
  <c r="O37" i="6" s="1"/>
  <c r="P37" i="6" s="1"/>
  <c r="J33" i="6"/>
  <c r="E22" i="6"/>
  <c r="I22" i="6" s="1"/>
  <c r="P22" i="6" s="1"/>
  <c r="I26" i="6"/>
  <c r="P26" i="6" s="1"/>
  <c r="J62" i="6" l="1"/>
  <c r="O62" i="6" s="1"/>
  <c r="O65" i="6"/>
  <c r="P65" i="6" s="1"/>
  <c r="O35" i="6"/>
  <c r="P35" i="6" s="1"/>
  <c r="J53" i="6"/>
  <c r="O53" i="6" s="1"/>
  <c r="I77" i="6"/>
  <c r="P77" i="6" s="1"/>
  <c r="I70" i="6" l="1"/>
  <c r="P70" i="6" s="1"/>
  <c r="E69" i="6"/>
  <c r="I69" i="6" s="1"/>
  <c r="O33" i="6"/>
  <c r="P33" i="6" s="1"/>
  <c r="J11" i="6"/>
  <c r="I19" i="6" l="1"/>
  <c r="E11" i="6"/>
  <c r="I11" i="6" s="1"/>
  <c r="O19" i="6"/>
  <c r="P69" i="6"/>
  <c r="I90" i="6"/>
  <c r="E51" i="6"/>
  <c r="I51" i="6" s="1"/>
  <c r="P51" i="6" s="1"/>
  <c r="P19" i="6" l="1"/>
  <c r="O11" i="6"/>
  <c r="J88" i="6"/>
  <c r="O88" i="6" s="1"/>
  <c r="O90" i="6"/>
  <c r="P90" i="6" s="1"/>
  <c r="I27" i="5" l="1"/>
  <c r="F22" i="5"/>
  <c r="I24" i="5"/>
  <c r="F14" i="5"/>
  <c r="F13" i="5" s="1"/>
  <c r="F12" i="5" s="1"/>
  <c r="C12" i="5" l="1"/>
  <c r="E12" i="5" s="1"/>
  <c r="F20" i="5"/>
  <c r="C20" i="5" s="1"/>
  <c r="E20" i="5" s="1"/>
  <c r="L24" i="5"/>
  <c r="I23" i="5"/>
  <c r="L23" i="5" s="1"/>
  <c r="L27" i="5"/>
  <c r="I26" i="5"/>
  <c r="F29" i="5"/>
  <c r="C29" i="5" s="1"/>
  <c r="E29" i="5" s="1"/>
  <c r="I22" i="5" l="1"/>
  <c r="L26" i="5"/>
  <c r="F33" i="5"/>
  <c r="E94" i="6"/>
  <c r="I94" i="6" s="1"/>
  <c r="P94" i="6" s="1"/>
  <c r="I33" i="5" l="1"/>
  <c r="L33" i="5" s="1"/>
  <c r="C33" i="5" l="1"/>
  <c r="E33" i="5" s="1"/>
  <c r="P11" i="6"/>
  <c r="E88" i="6" l="1"/>
  <c r="I88" i="6" s="1"/>
  <c r="P88" i="6" s="1"/>
  <c r="E53" i="6"/>
  <c r="I53" i="6" s="1"/>
  <c r="P53" i="6" s="1"/>
  <c r="E49" i="6"/>
  <c r="I49" i="6" l="1"/>
  <c r="P49" i="6" s="1"/>
  <c r="H100" i="6"/>
  <c r="M100" i="6"/>
  <c r="L100" i="6"/>
  <c r="N100" i="6"/>
  <c r="K100" i="6"/>
  <c r="G100" i="6"/>
  <c r="O100" i="6"/>
  <c r="F100" i="6"/>
  <c r="E62" i="6"/>
  <c r="I62" i="6" s="1"/>
  <c r="P62" i="6" s="1"/>
  <c r="J100" i="6" l="1"/>
  <c r="E100" i="6" l="1"/>
  <c r="I100" i="6" s="1"/>
  <c r="P100" i="6" l="1"/>
</calcChain>
</file>

<file path=xl/sharedStrings.xml><?xml version="1.0" encoding="utf-8"?>
<sst xmlns="http://schemas.openxmlformats.org/spreadsheetml/2006/main" count="900" uniqueCount="499">
  <si>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</si>
  <si>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</si>
  <si>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Функціо-нальної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</si>
  <si>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 бюджетної програми згідно з Типовою програмною класифікацією видатків та кредитування місцевих бюджетів</t>
  </si>
  <si>
    <t>Найменування місцевих/регіональних програм</t>
  </si>
  <si>
    <t>Дата та номер документа, яким затверджено місцеву регіональну програму</t>
  </si>
  <si>
    <t>Всього</t>
  </si>
  <si>
    <t>Загальний фонд</t>
  </si>
  <si>
    <t>Спеціальний фонд</t>
  </si>
  <si>
    <t>всього</t>
  </si>
  <si>
    <t>у тому числі бюджет розвитку</t>
  </si>
  <si>
    <t>Міська рада</t>
  </si>
  <si>
    <t>Інші заходи у сфері соціального захисту  і соціального забезпечення</t>
  </si>
  <si>
    <t>Програма соціального захисту населення Долинської міської територіальної громади на 2023-2025 роки</t>
  </si>
  <si>
    <t>04.04.2023    №2103 -30/2023</t>
  </si>
  <si>
    <t>Реалізація інших заходів щодо соціально-економічного розвитку територій</t>
  </si>
  <si>
    <t>Програма розвитку агропромислового комплексу Долинської територіальної громади на 2022-2025 роки</t>
  </si>
  <si>
    <t>18.11.2021 №1126-17/2021</t>
  </si>
  <si>
    <t>Програма розвитку міжнародного співробітництва, туризму, інвестиційної та проектної діяльності на 2022-2025 роки</t>
  </si>
  <si>
    <t>18.11.2021 №1125-17/2021 </t>
  </si>
  <si>
    <t>Програма профілактики злочинності безпеки на території Долинської  ТГ на 2021-2025 роки (Поліцейський громади)</t>
  </si>
  <si>
    <t>Управління освіти</t>
  </si>
  <si>
    <t>Служба у справах дітей</t>
  </si>
  <si>
    <t>Відділ культури</t>
  </si>
  <si>
    <t>Відділ  молоді і спорту</t>
  </si>
  <si>
    <t>Управління з питань житлово-комунального господарства</t>
  </si>
  <si>
    <t>Управління з питань благоустрою та інфраструктури</t>
  </si>
  <si>
    <t>16.03.2023 №2041-29/2023</t>
  </si>
  <si>
    <t>ВСЬОГО</t>
  </si>
  <si>
    <t>0113242</t>
  </si>
  <si>
    <t>0117370</t>
  </si>
  <si>
    <t>Заходи державної політики з питань дітей та їх соціального захисту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</si>
  <si>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</si>
  <si>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</si>
  <si>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03.10.2024 №2909-48/2024</t>
  </si>
  <si>
    <t>03.10.2024 №2903-48/2024</t>
  </si>
  <si>
    <t>Програма попередження дитячої бездоглядності та безпритульності серед дітей, підтримки дітей-сиріт та дітей, позбавлених батьківського піклування та дітей інших соціально незахищених категорій населення Долинської територіальної громади на 2025-2027 роки</t>
  </si>
  <si>
    <t>Програма «Молодь Долинської громади» на 2025-2027 рр.</t>
  </si>
  <si>
    <t>03.10.2024 №2908-48/2024</t>
  </si>
  <si>
    <t>Програма соціально-психологічної підтримки дітей та молоді з синдромом Дауна ГО «Долина СОНЯЧНІ ПРОМІНЧИКИ»  на 2025-2027 роки</t>
  </si>
  <si>
    <t>03.10.2024 №2897-48/2024</t>
  </si>
  <si>
    <t>Програма соціально-психологічної підтримки дітей та молоді з обмеженими функціональними можливостями на 2025-2027 рік</t>
  </si>
  <si>
    <t>Первинна медична допомога населенню, що надається центрами первинної медичної (медико-санітарної) допомоги</t>
  </si>
  <si>
    <t>Інші програми та заходи у сфері охорони здоров’я</t>
  </si>
  <si>
    <t>03.10.2024 №2896-48/2024</t>
  </si>
  <si>
    <t>Програма підтримки та розвитку установ первинної медичної допомоги на 2025-2027 роки</t>
  </si>
  <si>
    <t>03.10.2024 №2893-48/2024</t>
  </si>
  <si>
    <t>Інші заходи у сфері соціального захисту і соціального забезпечення</t>
  </si>
  <si>
    <t>Програма підтримки психологічної стабілізації та реабілітації військовослужбовців внаслідок поранень, контузій, полону, членів сімей з-агиблих, зниклих безвісти, полонених, які брали участь у захисті України від збройної агресії російської федерації на 2024-2026 роки</t>
  </si>
  <si>
    <t>21.08.2024 №2821-47/2024</t>
  </si>
  <si>
    <t>Програма фінансування мобілізаційних заходів та оборонної роботи Долинської міської ради на 2025-2027 роки</t>
  </si>
  <si>
    <t>Програма забезпечення містобудівною документацією та ведення містобудівного кадастру Долинської ТГ на 2025-2027 роки</t>
  </si>
  <si>
    <t>23.10.2024 №2922- 48/2024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</si>
  <si>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</si>
  <si>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 xml:space="preserve">Про програму відшкодування різниці в тарифах на послуги з централізованого водопостачання і централізованого водовідведення КП «Водоканал» Долинської міської ради на 2025-2027 роки </t>
  </si>
  <si>
    <t>21.11.2024 №2977-50/2024</t>
  </si>
  <si>
    <t>Код</t>
  </si>
  <si>
    <t>Найменування згідно з класифікацією доходів бюджету</t>
  </si>
  <si>
    <t>Усього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</si>
  <si>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</si>
  <si>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</si>
  <si>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</si>
  <si>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</si>
  <si>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</si>
  <si>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</si>
  <si>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</si>
  <si>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</si>
  <si>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</si>
  <si>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</si>
  <si>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</si>
  <si>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</si>
  <si>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</si>
  <si>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</si>
  <si>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</si>
  <si>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</si>
  <si>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</si>
  <si>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</si>
  <si>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</si>
  <si>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</si>
  <si>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</si>
  <si>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</si>
  <si>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</si>
  <si>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</si>
  <si>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</si>
  <si>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</si>
  <si>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</si>
  <si>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</si>
  <si>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</si>
  <si>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</si>
  <si>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</si>
  <si>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</si>
  <si>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</si>
  <si>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</si>
  <si>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</si>
  <si>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</si>
  <si>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</si>
  <si>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</si>
  <si>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відсотків"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</si>
  <si>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</si>
  <si>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</si>
  <si>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вуглецю),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</si>
  <si>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</si>
  <si>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</si>
  <si>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</si>
  <si>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</si>
  <si>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</si>
  <si>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</si>
  <si>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</si>
  <si>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</si>
  <si>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</si>
  <si>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</si>
  <si>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</si>
  <si>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</si>
  <si>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</si>
  <si>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</si>
  <si>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</si>
  <si>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пов'язане з видачею та оформленням закордонних паспортів (посвідок) та паспортів громадян України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</si>
  <si>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</si>
  <si>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</si>
  <si>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</si>
  <si>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</si>
  <si>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</si>
  <si>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</si>
  <si>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</si>
  <si>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</si>
  <si>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Офіційні трансферти</t>
  </si>
  <si>
    <t>Від органі державного управління</t>
  </si>
  <si>
    <t>Субвенція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</si>
  <si>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</si>
  <si>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</si>
  <si>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 (на оплату праці з нарахуваннями педагогічним працівникам інклюзивно-ресурсних центрів)</t>
  </si>
  <si>
    <t>Інша субвенція з місцевого бюджету, в тому числі</t>
  </si>
  <si>
    <t>з обласного бюджету:</t>
  </si>
  <si>
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</si>
  <si>
    <t>на пільгове медичне обслуговування громадян, які постраждали внаслідок Чорнобильської катастрофи</t>
  </si>
  <si>
    <t>на додаткові виплати ветеранам ОУН-УПА</t>
  </si>
  <si>
    <t>Всього доходів</t>
  </si>
  <si>
    <t>грн</t>
  </si>
  <si>
    <t>Додаток 3 до рішення міської ради</t>
  </si>
  <si>
    <t>Додаток 2 до рішення міської ради</t>
  </si>
  <si>
    <t>Найменування згідно з Класифікацією фінансування бюджету</t>
  </si>
  <si>
    <t>Внутрішнє фінансування</t>
  </si>
  <si>
    <t>Загальне фінансування</t>
  </si>
  <si>
    <t>Фінансування за активними операціями</t>
  </si>
  <si>
    <t>Код програмної класифікації видатків та кредитування місцевих бюджетів</t>
  </si>
  <si>
    <t>Код Функціо-нальної класифікації видатків та кредиту-вання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</si>
  <si>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</si>
  <si>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</si>
  <si>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</si>
  <si>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</si>
  <si>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</si>
  <si>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</si>
  <si>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</si>
  <si>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</si>
  <si>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</si>
  <si>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</si>
  <si>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</si>
  <si>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</si>
  <si>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</si>
  <si>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</si>
  <si>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</si>
  <si>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</si>
  <si>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0111160</t>
  </si>
  <si>
    <t>0990</t>
  </si>
  <si>
    <t>Забезпечення діяльності центрів професійного розвитку педагогічних працівників</t>
  </si>
  <si>
    <t>0111151</t>
  </si>
  <si>
    <t>Забезпечення діяльності інклюзивно-ресурсних центрів за рахунок коштів місцевого бюджету</t>
  </si>
  <si>
    <t>0111152</t>
  </si>
  <si>
    <t>Забезпечення діяльності інклюзивно-ресурсних центрів за рахунок освітньої субвенції</t>
  </si>
  <si>
    <t>0112111</t>
  </si>
  <si>
    <t>0726</t>
  </si>
  <si>
    <t> 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</si>
  <si>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</si>
  <si>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</si>
  <si>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Інші програми та заходи у сфері охорони здоров`я</t>
  </si>
  <si>
    <t>0113033</t>
  </si>
  <si>
    <t>Компенсаційні виплати на пільговий проїзд автомобільним транспортом окремим категоріям громадян</t>
  </si>
  <si>
    <t>0113050</t>
  </si>
  <si>
    <t>Пільгове медичне обслуговування осіб, які постраждали внаслідок Чорнобильської катастрофи</t>
  </si>
  <si>
    <t>0113090</t>
  </si>
  <si>
    <t>Видатки на поховання учасників бойових дій та осіб з інвалідністю внаслідок війни</t>
  </si>
  <si>
    <t>0113104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</si>
  <si>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</si>
  <si>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</si>
  <si>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</si>
  <si>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0109</t>
  </si>
  <si>
    <t>0490</t>
  </si>
  <si>
    <t>0117693</t>
  </si>
  <si>
    <t>Інші заходи, пов'язані з економічною діяльністю</t>
  </si>
  <si>
    <t>06</t>
  </si>
  <si>
    <t>0610160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</si>
  <si>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</si>
  <si>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</si>
  <si>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0611010</t>
  </si>
  <si>
    <t>0910</t>
  </si>
  <si>
    <t>Надання дошкільної освіти міський бюджет</t>
  </si>
  <si>
    <t>0611021</t>
  </si>
  <si>
    <t>0921</t>
  </si>
  <si>
    <t>0611026</t>
  </si>
  <si>
    <t>1026</t>
  </si>
  <si>
    <t>Надання загальної середньої освіти міжшкільними ресурсними центрами за рахунок коштів місцевого бюджету</t>
  </si>
  <si>
    <t>0611031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</si>
  <si>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</si>
  <si>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</si>
  <si>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</si>
  <si>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</si>
  <si>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Забезпечення діяльності інших закладів у сфері освіти</t>
  </si>
  <si>
    <t>0611142</t>
  </si>
  <si>
    <t>Інші програми та заходи у сфері освіти</t>
  </si>
  <si>
    <t>09</t>
  </si>
  <si>
    <t>0910160</t>
  </si>
  <si>
    <t>0913112</t>
  </si>
  <si>
    <t>0913133</t>
  </si>
  <si>
    <t>Надання спеціальної освіти мистецькими школами</t>
  </si>
  <si>
    <t>0824</t>
  </si>
  <si>
    <t>Забезпечення діяльності бібліотек</t>
  </si>
  <si>
    <t>Забезпечення діяльності музеїв і виставок</t>
  </si>
  <si>
    <t>0828</t>
  </si>
  <si>
    <t>Забезпечення діяльності палаців і будинків культури, клубів, центрів дозвілля та інших клубних закладів</t>
  </si>
  <si>
    <t>0829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</si>
  <si>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</si>
  <si>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</si>
  <si>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0810</t>
  </si>
  <si>
    <t>0640</t>
  </si>
  <si>
    <t>Інша діяльність у сфері житлово-комунального господарства</t>
  </si>
  <si>
    <t>Керівництво і управління у благоустрою населених пунктів</t>
  </si>
  <si>
    <t>0620</t>
  </si>
  <si>
    <t>Організація благоустрою населених пунктів</t>
  </si>
  <si>
    <t>0512</t>
  </si>
  <si>
    <t>Фінансове управління</t>
  </si>
  <si>
    <t>Начальниця фінансового управління</t>
  </si>
  <si>
    <t>Світлана ДЕМЧЕНКО</t>
  </si>
  <si>
    <t>Х</t>
  </si>
  <si>
    <t>Начальниця фінансового управління                                   Світлана ДЕМЧЕНКО</t>
  </si>
  <si>
    <t>Надання загальної середньої освіти закладами загальної середньої освіти за рахунок коштів місцевого бюджету</t>
  </si>
  <si>
    <t>Податок на доходи фізичних осіб із доходів спеціалістів резидента Дія Сіті</t>
  </si>
  <si>
    <t>Податок на доходи фізичних осіб у вигляді мінімального податкового зобов'язання, що підлягає сплаті фізичними особами</t>
  </si>
  <si>
    <t>Рентна плата за користування надрами місцевого значення</t>
  </si>
  <si>
    <t>Акцизний податок з реалізації суб'єктами господарювання роздрібної торгівлі підакцизних товарів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</si>
  <si>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</si>
  <si>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Доходи від операцій з капіталом</t>
  </si>
  <si>
    <t>Надходження від продажу основного капіталу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</si>
  <si>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</si>
  <si>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</si>
  <si>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3719110</t>
  </si>
  <si>
    <t>9110</t>
  </si>
  <si>
    <t>Реверсна дотація</t>
  </si>
  <si>
    <t>Багатопрофільна стаціонарна медична допомога населенню</t>
  </si>
  <si>
    <t>0731</t>
  </si>
  <si>
    <t>2010</t>
  </si>
  <si>
    <t>0112010</t>
  </si>
  <si>
    <t>0117350</t>
  </si>
  <si>
    <t>0117640</t>
  </si>
  <si>
    <t>Розроблення схем планування та забудови територій (містобудівної документації)</t>
  </si>
  <si>
    <t>7350</t>
  </si>
  <si>
    <t>0443</t>
  </si>
  <si>
    <t>Заходи з енергозбереження</t>
  </si>
  <si>
    <t>0470</t>
  </si>
  <si>
    <t>7640</t>
  </si>
  <si>
    <t>(грн.)</t>
  </si>
  <si>
    <t>Фінансування за типом кредитора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</si>
  <si>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</si>
  <si>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</si>
  <si>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</si>
  <si>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</si>
  <si>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 за рахунок зміни залишків коштів місцевих бюджетів</t>
  </si>
  <si>
    <t>Кошти, що передаються із загального фонду бюджету до бюджету розвитку (спеціального фонду)</t>
  </si>
  <si>
    <t>Фінансування за типом боргового зобов'язання</t>
  </si>
  <si>
    <t>Фінансування бюджету за борговими зобов'язаннями</t>
  </si>
  <si>
    <t>Запозичення</t>
  </si>
  <si>
    <t>Внутрішні запозичення</t>
  </si>
  <si>
    <t>Довгострокові зобов’язання</t>
  </si>
  <si>
    <t>Погашення</t>
  </si>
  <si>
    <t>Внутрішні зобов’язання</t>
  </si>
  <si>
    <t>Зміни обсягів готівкових коштів</t>
  </si>
  <si>
    <t>1211021</t>
  </si>
  <si>
    <t>3718600</t>
  </si>
  <si>
    <t>Забезпечення діяльності водопровідно-каналізаційного господарства</t>
  </si>
  <si>
    <t>21.11.2024 №2978-50/2024</t>
  </si>
  <si>
    <t>Програма діяльності Асоціації «Футбольний клуб «Нафтовик-Долина» на 2025-2027 роки</t>
  </si>
  <si>
    <t>21.11.2024 №2975-50/2024</t>
  </si>
  <si>
    <t>Програма сталого енергетичного розвитку та адаптації до змін клімату Долинської територіальної громади на 2025 - 2027 роки</t>
  </si>
  <si>
    <t>21.11.2024            № 2982-50/2024</t>
  </si>
  <si>
    <t>16.12.2024 №3008-50/2024</t>
  </si>
  <si>
    <t>16.12.2024              № 3007-50/2024</t>
  </si>
  <si>
    <t>Програма розвитку освіти в Долинській міській територіальній громаді на 2025-2027 роки</t>
  </si>
  <si>
    <t>Програма діяльності комунального підприємства "Долина-Інвест" на 2025 -2027 рр.</t>
  </si>
  <si>
    <t>Програма розвитку житлово-комунального господарства на 2025-2027 роки</t>
  </si>
  <si>
    <t>13.12.2024 №2992-50/2024</t>
  </si>
  <si>
    <t>Програма розвитку комунального підприємства «Водоканал» Долинської міської ради на 2025-2027 рр.</t>
  </si>
  <si>
    <t>16.12.2024 №3016-50/2024 </t>
  </si>
  <si>
    <t>Програма соціально-економічного та культурного розвитку Долинської міської територіальної громади на 2025-2027 роки</t>
  </si>
  <si>
    <t>16.12.2024   №3018-50/2024</t>
  </si>
  <si>
    <t>Програма підтримки розвитку місцевого самоврядування в Долинській міській раді на 2025-2027 роки</t>
  </si>
  <si>
    <t>Програма забезпечення виконання рішень суду на 2023-2025  роки</t>
  </si>
  <si>
    <t>02.02.2023 №1950-28/2023</t>
  </si>
  <si>
    <t>Обслуговування місцевого боргу</t>
  </si>
  <si>
    <t>0170</t>
  </si>
  <si>
    <t>8600</t>
  </si>
  <si>
    <t>1210150</t>
  </si>
  <si>
    <t>1211010</t>
  </si>
  <si>
    <t>1215031</t>
  </si>
  <si>
    <t>Заходи, пов'язані з поліпшенням питної води</t>
  </si>
  <si>
    <t>Внески до статутного капіталу суб’єктів господарювання</t>
  </si>
  <si>
    <t>Програма розвитку комунального підприємства «Водоканал» Долинської міської ради на 2025-2027 рр. (Внески до статутного капіталу</t>
  </si>
  <si>
    <t>Програма підтримки та розвитку КП "Долинська центральна аптека № 18" Долинської міської ради на 2025-2027 роки</t>
  </si>
  <si>
    <t>16.12.2024 №3015-50/2024 </t>
  </si>
  <si>
    <t>1214060</t>
  </si>
  <si>
    <t>1211080</t>
  </si>
  <si>
    <t>Програма розвитку фізичної культури та спорту по Долинській міській ТГ на 2025-2027рр.</t>
  </si>
  <si>
    <t>Програма культурно-мистецьких заходів відділу культури Долинської міської ради на 2025-2027 роки</t>
  </si>
  <si>
    <t>Програма благоустрою Долинської ТГ на 2025-2027 рік</t>
  </si>
  <si>
    <t>Програма "Екологічні заходи на 2025-2027 роки"</t>
  </si>
  <si>
    <t>21.11.2024 № 2982-50/2024</t>
  </si>
  <si>
    <t>1.  Показники міжбюджетних трансфертів з інших бюджетів</t>
  </si>
  <si>
    <t>Код класифікації доходів бюджету / Код бюджету</t>
  </si>
  <si>
    <t>Найменування трансферту / найменування бюджету - надавача міжбюджетного трансферту</t>
  </si>
  <si>
    <t>І. Трансферти до загального фонду бюджету</t>
  </si>
  <si>
    <r>
      <t xml:space="preserve">Субвенція з обласного бюджету  </t>
    </r>
    <r>
      <rPr>
        <sz val="10"/>
        <color rgb="FF000000"/>
        <rFont val="Times New Roman"/>
        <family val="1"/>
        <charset val="204"/>
      </rPr>
  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  </r>
  </si>
  <si>
    <r>
      <t xml:space="preserve">Субвенція з обласного бюджету </t>
    </r>
    <r>
      <rPr>
        <sz val="10"/>
        <color rgb="FF000000"/>
        <rFont val="Times New Roman"/>
        <family val="1"/>
        <charset val="204"/>
      </rPr>
      <t xml:space="preserve"> на пільгове медичне обслуговування громадян, які постраждали внаслідок Чорнобильської катастрофи</t>
    </r>
  </si>
  <si>
    <t>Субвенція з обласного бюджету на додаткові виплати ветеранам ОУН-УПА</t>
  </si>
  <si>
    <t>ІІ. Трансферти до спеціального фонду бюджету</t>
  </si>
  <si>
    <t>ВСЬОГО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</si>
  <si>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</si>
  <si>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</si>
  <si>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 бюджетам</t>
  </si>
  <si>
    <t>(грн)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</si>
  <si>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</si>
  <si>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</si>
  <si>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</si>
  <si>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</si>
  <si>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</si>
  <si>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УСЬОГО за розділом І та ІІ, у тому числі:</t>
  </si>
  <si>
    <t>(код бюджету 0953200000)</t>
  </si>
  <si>
    <t>Програма підтримки та розвитку КНП «Долинська багатопрофільна лікарня» на 2025-2027 роки</t>
  </si>
  <si>
    <t>Затверджений план на рік</t>
  </si>
  <si>
    <t>Зміни, що вносяться</t>
  </si>
  <si>
    <t>Уточнений план</t>
  </si>
  <si>
    <t>Затверджено бюджетом з урахуванням змін</t>
  </si>
  <si>
    <t>бюджет розвитку</t>
  </si>
  <si>
    <t xml:space="preserve">Разом </t>
  </si>
  <si>
    <t>Зміни, що вносятся</t>
  </si>
  <si>
    <t>в т.ч. бюджет розвитку</t>
  </si>
  <si>
    <t xml:space="preserve">ВНЕСЕННЯ ЗМІН ДО ДОДАТКУ 2 </t>
  </si>
  <si>
    <t>«Фінансування  бюджету громади на 2025 рік»</t>
  </si>
  <si>
    <t>Зміни до розподілу видатків бюджету громади на 2025 рік</t>
  </si>
  <si>
    <t>Зміни до дохідної частини бюджету громади на 2025 рік</t>
  </si>
  <si>
    <t>Програма соціального захисту населення Долинської міської територіальної громади на 2023-2025 роки (Міська рада)</t>
  </si>
  <si>
    <t>Програма соціального захисту населення Долинської міської територіальної громади на 2023-2025 роки (КЗ "Центр надання соціальних послуг)</t>
  </si>
  <si>
    <t>0611200</t>
  </si>
  <si>
    <t>1200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</si>
  <si>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</si>
  <si>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</si>
  <si>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</si>
  <si>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</si>
  <si>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</si>
  <si>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0611600</t>
  </si>
  <si>
    <t>1600</t>
  </si>
  <si>
    <t xml:space="preserve">ВНЕСЕННЯ ЗМІН ДО ДОДАТКУ 5 </t>
  </si>
  <si>
    <t>«Міжбюджетні трансферти на 2025 рік»</t>
  </si>
  <si>
    <t xml:space="preserve"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t>
  </si>
  <si>
    <t xml:space="preserve">Субвенція з державного бюджету місцевим бюджетам на здійснення доплат педагогічним працівникам закладів загальної середньої освіти </t>
  </si>
  <si>
    <t>Субвенція з державного бюджету місцевим бюджетам на надання державної підтримки особам з особливими освітніми потребами</t>
  </si>
  <si>
    <t>На початок періоду</t>
  </si>
  <si>
    <t>Забезпечення харчування учнів початкових класів закладів загальної середньої освіти за рахунок субвенції з державного бюджету місцевим бюджетам</t>
  </si>
  <si>
    <t>Надання загальної середньої освіти закладами загальної середньої освіти за рахунок освітньої субвенції</t>
  </si>
  <si>
    <t>Резервний фонд місцевого бюджету</t>
  </si>
  <si>
    <t xml:space="preserve">ВНЕСЕННЯ ЗМІН ДО ДОДАТКУ 7 </t>
  </si>
  <si>
    <t>«Розподіл витрат  бюджету громади на реалізацію місцевих/регіональних програм у 2025 році»</t>
  </si>
  <si>
    <t>у т.ч.</t>
  </si>
  <si>
    <t>Штрафні санкції, що застосовуються відповідно до Закону України "Про державне регулювання виробництва і обігу спирту етилового,спиртових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пального"</t>
  </si>
  <si>
    <t xml:space="preserve">Адміністративний збір, що справляється відповідно до Закону України "Про державну реєстрацію юридичних осіб, фізичних осіб - підприємців та громадських формувань" 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</si>
  <si>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 відповідно до Закону України "Про державну реєстрацію юридичних осіб, фізичних осіб - підприємців та громадських формувань", а також плата за надання інших палтних послуг, пов’язаних з такою реєстрацією</t>
  </si>
  <si>
    <t>Надходження від орендної плати за користування єдиним майновим комплексом та іншим державним майном</t>
  </si>
  <si>
    <t>придбання лор-комбайна для КНП "Долинська багатопрофільна лікарня", м.Долина, вул. Оксани Грицей 15, Долинської міської ради Івано-Франківської області</t>
  </si>
  <si>
    <t>придбання оргтехніки та інвентаря, будівельних матеріалів для проведення робіт господарським способом для КЗ "Центр культури і мистецтв"</t>
  </si>
  <si>
    <t>капітальний ремонт І поверху неврологічного корпусу КНП "Долинська багатопрофільна лікарня" по вул. О.Грицей, 15 м.Долина Калуського району Івано-Франківської області (створення умов для лікування, відновлення та реабілітації пацієнтів, в тому числі військовослужбовців)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</si>
  <si>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</si>
  <si>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Субвенція з обласного бюджету на придбання оргтехніки та інвентаря, будівельних матеріалів для проведення робіт господарським способом для КЗ "Центр культури і мистецтв"</t>
  </si>
  <si>
    <t>Субвенція з місцевого бюджету на капітальний ремонт І поверху неврологічного корпусу КНП "Долинська багатопрофільна лікарня" по вул. О.Грицей, 15 м.Долина Калуського району Івано-Франківської області (створення умов для лікування, відновлення та реабілітації пацієнтів, в тому числі військовослужбовців)</t>
  </si>
  <si>
    <t>Субвенція з місцевого бюджету на придбання лор-комбайна для КНП "Долинська багатопрофільна лікарня", м.Долина, вул. Оксани Грицей 15, Долинської міської ради Івано-Франківської області</t>
  </si>
  <si>
    <t>Забезпечення інституту помічника ветерана в системі переходу від військової служби до цивільного життя та окремі заходи з підтримки осіб, які захищали незалежність, суверенітет та територіальну цілісність України</t>
  </si>
  <si>
    <t>Назву "Утилізація відходів" змінити на "Оброблення (відновлення, у тому числі сортування, та видалення) відходів"</t>
  </si>
  <si>
    <t>Назву "Утримання та навчально-тренувальна робота комунальних дитячо-юнацьких спортивних шкіл" змінити на "Розвиток здібностей у дітей та молоді з фізичної культури та спорту комунальними дитячо-юнацькими спортивними школами"</t>
  </si>
  <si>
    <t>назву "Інші заходи та заклади молодіжної політики" змінити на "Забезпечення молодіжними центрами соціального становлення та розвитку молоді та інші заходи у сфері молодіжної політики"</t>
  </si>
  <si>
    <t>Додаток 1 до рішення міської ради</t>
  </si>
  <si>
    <t>Відділ молоді і спорту</t>
  </si>
  <si>
    <t>Управління житлово-комунального господарства</t>
  </si>
  <si>
    <t>Програма забезпечення пожежної безпеки на території Долинської ТГ на 2025-2027 роки</t>
  </si>
  <si>
    <t>Розвиток здібностей у дітей та молоді з фізичної культури та спорту комунальними дитячо-юнацькими спортивними школами</t>
  </si>
  <si>
    <t>Утримання та розвиток автомобільних доріг та дорожньої інфраструктури за рахунок коштів місцевого бюджету</t>
  </si>
  <si>
    <t>Програма забезпечення виконання рішень суду на 2023-2025  роки (КП Атека №18)</t>
  </si>
  <si>
    <t>Заходи із запобігання та ліквідації надзвичайних ситуацій та наслідків стихійного лиха</t>
  </si>
  <si>
    <t>Субвенція з місцевого бюджету державному бюджету на виконання програм соціально-економічного розвитку регіонів</t>
  </si>
  <si>
    <t>Інші субвенції з місцевого бюджету</t>
  </si>
  <si>
    <t>8110</t>
  </si>
  <si>
    <t>0320</t>
  </si>
  <si>
    <t>0118110</t>
  </si>
  <si>
    <t>1212152</t>
  </si>
  <si>
    <t>0619770</t>
  </si>
  <si>
    <t>1219770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</si>
  <si>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</si>
  <si>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</si>
  <si>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0611183</t>
  </si>
  <si>
    <t>Комплексна Програма розвитку цивільного захисту на території громади на 2025-2027 роки</t>
  </si>
  <si>
    <t>12.12.2024            № 2987-50/2024</t>
  </si>
  <si>
    <t>21.11.2024             № 2969-50/2024</t>
  </si>
  <si>
    <t>Програма запобігання виникнення надзвичайної ситуацій природного та техногенного характеру та підвищення рівна готовності 2-ї спеціалізованої пошуково рятувальної групи СПРЧ АРЗ СП до дій за призначенням на 2025-2027 роки</t>
  </si>
  <si>
    <t>0119800</t>
  </si>
  <si>
    <t>Субвенція з місцевого бюджету державному бюджету на виконання програм соціально-економічного розвитку регіонів (Програма забезпечення пожежної безпеки на території Долинської ТГ на 2025-2027 роки)</t>
  </si>
  <si>
    <t>Субвенція з місцевого бюджету державному бюджету на виконання програм соціально-економічного розвитку регіонів (Програма запобігання виникнення надзвичайної ситуацій природного та техногенного характеру та підвищення рівна готовності 2-ї спеціалізованої пошуково рятувальної групи СПРЧ АРЗ СП до дій за призначенням на 2025-2027 роки)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</si>
  <si>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0693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</si>
  <si>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2943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</si>
  <si>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3035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</si>
  <si>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1126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</si>
  <si>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0222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</si>
  <si>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2637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</si>
  <si>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батальйону поліції особливого призначення ГУНП в Івано-Франківській області</t>
  </si>
  <si>
    <t>1017370</t>
  </si>
  <si>
    <t>Програма «Духовне життя» Долинської громади на 2024-2026 роки (Програма соціально-економічного та культурного розвитку Долинської міської територіальної громади на 2025-2027 роки)</t>
  </si>
  <si>
    <t>29.05.2024  №2672-42/2024</t>
  </si>
  <si>
    <t>Програма підтримки Територіального управління Державного бюро розслідувань, розташованого у місті Львові на 2025-2026роки</t>
  </si>
  <si>
    <t>Субвенція з місцевого бюджету державному бюджету на виконання програм соціально-економічного розвитку регіонів (Комплексна Програма розвитку цивільного захисту на території громади на 2025-2027 роки (Капітальний ремонт захисної споруди цивільного захисту (ПРУ № 30011) Управління Державної казначейської служби України у Долинському районі в м. Долина по вул. Хмельницького, 2а)</t>
  </si>
  <si>
    <t>Субвенція з місцевого бюджету державному бюджету на виконання програм соціально-економічного розвитку регіонів (Програма підтримки Територіального управління Державного бюро розслідувань, розташованого у місті Львові на 2025-2026роки (Реконструкція будівлі (здійснення заходів енергозбереження) з облаштуванням захисної споруди цивільного захисту за адресою вул.  Гетьмана Мазепи, 27Б, м. Івано- Франківськ))</t>
  </si>
  <si>
    <t>Субвенції з  бюджету громади іншим бюджетам</t>
  </si>
  <si>
    <t xml:space="preserve">  28.01.2021      №72-4/2021 </t>
  </si>
  <si>
    <t xml:space="preserve">  13.12.2024          № 2997-50/2024</t>
  </si>
  <si>
    <t xml:space="preserve">   21.11.2024            № 2982-50/2024</t>
  </si>
  <si>
    <t>16.12.2024  №3016-50/2024 </t>
  </si>
  <si>
    <t>Програма реконструкції та утримання кладовищ на 2023-2025 роки</t>
  </si>
  <si>
    <t>25.02.2025  №3097-52/2025 </t>
  </si>
  <si>
    <t>Програма будівництва, ремонту та утримання вулично-дорожньої мережі та підвищення безпеки дорожнього руху Долинської територіальної громади на 2025-2027 роки (Програма соціально-економічного та культурного розвитку Долинської міської територіальної громади на 2025-2027 роки)</t>
  </si>
  <si>
    <t>Субвенція обласному бюджету на співфінансувння капітального ремонту та облаштування найпростішого укриття (підвального приміщення) Долинської дитячої музичної школи імені Мирослава Антоновича  в  м. Долина по  вул. Котляревського, 9" (для КП "БУДІНВЕСТ")</t>
  </si>
  <si>
    <t>1217693</t>
  </si>
  <si>
    <t>Програма забезпечення виконання рішень суду на 2023-2025  роки (КНП "ЦПМД")</t>
  </si>
  <si>
    <t>Програма соціально-економічного та культурного розвитку Долинської міської територіальної громади на 2025-2027 роки (КНП "ДБЛ")</t>
  </si>
  <si>
    <t>1014030</t>
  </si>
  <si>
    <t>Програма реконструкції та утримання кладовищ на 2023-2025 роки (програма соціально-економічного та культурного розвитку Долинської міської територіальної громади на 2025-2027 роки)</t>
  </si>
  <si>
    <t>Програма благоустрою Долинської ТГ на 2025-2027 рік  (програма соціально-економічного та культурного розвитку Долинської міської територіальної громади на 2025-2027 роки)</t>
  </si>
  <si>
    <t>Програма соціально-економічного та культурного розвитку Долинської міської територіальної громади на 2025-2027 роки (основна)</t>
  </si>
  <si>
    <t>Програма розвитку та утримання мережі вуличного освітлення населених пунктів Долинської територіальної громади на 2025-2027 роки (Програма соціально-економічного та культурного розвитку Долинської міської територіальної громади на 2025-2027 роки)</t>
  </si>
  <si>
    <t>25.02.2025 № 3096-52/2025</t>
  </si>
  <si>
    <t>16.12.2024                   № 3021-50/2024</t>
  </si>
  <si>
    <t>Субвенція обласному бюджету на співфінансування капітального ремонту та облаштування найпростішого укриття (підвального приміщення) Долинського ліцею «Науковий»  в  м. Долина по вул. Грушевського, 24" (для КП "БУДІНВЕСТ")</t>
  </si>
  <si>
    <t>0617640</t>
  </si>
  <si>
    <t>16.12.2024              № 3012-50/2024</t>
  </si>
  <si>
    <t>16.12.2024                 №3016-50/2024 </t>
  </si>
  <si>
    <t>16.12.2024           №3006-50/2024</t>
  </si>
  <si>
    <t>03.10.2024           №2898-48/2024</t>
  </si>
  <si>
    <t>03.10.2024        №2899-48/2024</t>
  </si>
  <si>
    <t>29.05.2024                №2672-42/2024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</si>
  <si>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7384</t>
  </si>
  <si>
    <t>1214030</t>
  </si>
  <si>
    <t>1417370</t>
  </si>
  <si>
    <t>Програма соціально-економічного та культурного розвитку Долинської міської територіальної громади на 2025-2027 роки (КНП "ЦПМД")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</si>
  <si>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4808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</si>
  <si>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4267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</si>
  <si>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1349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</si>
  <si>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3101 Національної гвардії України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</si>
  <si>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1241 Національної гвардії України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</si>
  <si>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4962</t>
  </si>
  <si>
    <t>Забезпечення молодіжними центрами соціального становлення та розвитку молоді та інші заходи у сфері молодіжної політики</t>
  </si>
  <si>
    <t>Оброблення (відновлення, у тому числі сортування, та видалення) відходів</t>
  </si>
  <si>
    <t>ТПКВ</t>
  </si>
  <si>
    <t>Назва головного розпорядника, одержувача коштів</t>
  </si>
  <si>
    <t>в тому числі:</t>
  </si>
  <si>
    <t>Примітка</t>
  </si>
  <si>
    <t>поточні видатки</t>
  </si>
  <si>
    <t>капітальні видатки</t>
  </si>
  <si>
    <t>Зміни до розподілу частини залишку коштів, що склався станом на 01 січня 2025 року</t>
  </si>
  <si>
    <t>Додаток 4 до рішення міської ради</t>
  </si>
  <si>
    <r>
      <t xml:space="preserve">                                                    Додаток 5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до рішення міської ради</t>
    </r>
  </si>
  <si>
    <t>Додаток 6 до рішення міської ради</t>
  </si>
  <si>
    <t>1217640</t>
  </si>
  <si>
    <t>25.02.2025               № 3071-52/2025</t>
  </si>
  <si>
    <t>25.02.2025             № 3072-52/2025</t>
  </si>
  <si>
    <t>Субвенція з місцевого бюджету державному бюджету на виконання програм соціально-економічного розвитку регіонів  )Комплексна Програма розвитку цивільного захисту на території громади на 2025-2027 роки (Поточний ремонт та облаштування найпростішого укриття (підвального приміщення) відділення поліції № 1 (м.Долина) Калуського відділу поліції Головного управління Національної поліції в Івано-Франківській області))</t>
  </si>
  <si>
    <t>Програма покращення доступу до правосуддя жителів Долинської міської територіальної громади на 2025 – 2027 роки</t>
  </si>
  <si>
    <t>Субвенція з місцевого бюджету державному бюджету на виконання програм соціально-економічного розвитку регіонів (Програма покращення доступу до правосуддя жителів Долинської міської територіальної громади на 2025 – 2027 роки)</t>
  </si>
  <si>
    <t>3719770</t>
  </si>
  <si>
    <t>9770</t>
  </si>
  <si>
    <t>Інші субвенції з місцевого бюджету обласному бюджету для виконання пункту 4.3 розділу 4 заходів Програми фінансування мобілізаційних заходів та оборонної роботи Долинської міської  ради</t>
  </si>
  <si>
    <t>Від Європейського Союзу, урядів іноземних держав, міжнародних організацій, донорських установ</t>
  </si>
  <si>
    <t>Гранти, що надійшли до місцевих бюджетів</t>
  </si>
  <si>
    <t>Субвенція обласному бюджету на співфінансування публічного інвестиційного проекту на безперешкодний доступ до якісної освіти - "шкільні автобуси"</t>
  </si>
  <si>
    <t>Субвенція обласному бюджету на співфінансування капітального ремонту приміщень протирадіаційного укриття (ПРУ) з обліковим номером 32983 в Долинському ліцею №6 "Європейський" Долинської міської ради Івано - Франківської області, розташованого за адресою: м.Долина, вул.Степана Бандери, буд. 8. (для КП "БУДІНВЕСТ")</t>
  </si>
  <si>
    <t>1115049</t>
  </si>
  <si>
    <t>Виконання окремих заходів з реалізації соціального проекту  "Активні парки -локації здорової України"</t>
  </si>
  <si>
    <t>Субвенція з місцевого бюджету на виконання окремих заходів з реалізації соціального проекту «Активні парки - локації здорової України» за рахунок відповідної субвенції з державного бюджету</t>
  </si>
  <si>
    <t>Додатково</t>
  </si>
  <si>
    <t xml:space="preserve">Програма «Духовне життя» Долинської громади на 2024-2026 роки </t>
  </si>
  <si>
    <t>Програма фінансування мобілізаційних заходів та оборонної роботи Долинської міської ради на 2025-2027 роки (Програма соціально-економічного та культурного розвитку Долинської міської територіальної громади на 2025-2027 роки)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</si>
  <si>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5063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</si>
  <si>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7166</t>
  </si>
  <si>
    <t>від 28.05.2025 № 4199-56/2025</t>
  </si>
  <si>
    <t xml:space="preserve">                                                    від 28.05.2025 № 4199-56/2025</t>
  </si>
  <si>
    <t>Субвенція обласному бюджету на співфінансування для поточного ремонту споруди цивільного захисту – бомбосховища Малотур’янського ліцею Долинської міської ради Калуського району Івано-Франківської області (для «БУДІНВЕСТ»)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</si>
  <si>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4267</t>
  </si>
  <si>
    <t xml:space="preserve">дофінансування з бюджету громади видатки на оплату праці та нарахування на заробітну плату педагогічним працівникам закладів загальної середньої освіти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</si>
</sst>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00000&quot;  &quot;"/>
    <numFmt numFmtId="165" formatCode="0&quot;     &quot;"/>
    <numFmt numFmtId="166" formatCode="0&quot;    &quot;"/>
    <numFmt numFmtId="167" formatCode="0&quot;  &quot;"/>
    <numFmt numFmtId="168" formatCode="0000&quot;    &quot;"/>
    <numFmt numFmtId="169" formatCode="0000"/>
    <numFmt numFmtId="170" formatCode="0000000"/>
    <numFmt numFmtId="171" formatCode="0000&quot;     &quot;"/>
  </numFmts>
  <fonts count="4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15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10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2" fillId="0" borderId="0" xfId="0" applyFont="1"/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1" fontId="26" fillId="0" borderId="1" xfId="0" applyNumberFormat="1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12" fillId="0" borderId="0" xfId="0" applyFont="1"/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/>
    <xf numFmtId="1" fontId="12" fillId="0" borderId="1" xfId="0" applyNumberFormat="1" applyFont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71" fontId="12" fillId="2" borderId="1" xfId="0" applyNumberFormat="1" applyFont="1" applyFill="1" applyBorder="1" applyAlignment="1">
      <alignment horizontal="center" vertical="center" wrapText="1"/>
    </xf>
    <xf numFmtId="168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169" fontId="12" fillId="2" borderId="1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4" fontId="29" fillId="2" borderId="1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4" fontId="30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3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horizontal="right"/>
    </xf>
    <xf numFmtId="49" fontId="2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/>
    <xf numFmtId="4" fontId="25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8" fillId="0" borderId="0" xfId="0" applyNumberFormat="1" applyFont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4" fontId="35" fillId="0" borderId="1" xfId="0" applyNumberFormat="1" applyFont="1" applyBorder="1" applyAlignment="1">
      <alignment horizontal="right" vertical="center" wrapText="1"/>
    </xf>
    <xf numFmtId="4" fontId="37" fillId="0" borderId="1" xfId="0" applyNumberFormat="1" applyFont="1" applyBorder="1" applyAlignment="1">
      <alignment horizontal="right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4" fontId="38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1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1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4" fontId="36" fillId="0" borderId="1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/>
    </xf>
    <xf numFmtId="167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4" fontId="25" fillId="0" borderId="1" xfId="0" applyNumberFormat="1" applyFont="1" applyBorder="1" applyAlignment="1">
      <alignment horizontal="right" vertical="center"/>
    </xf>
    <xf numFmtId="167" fontId="2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40" fillId="0" borderId="0" xfId="0" applyFont="1"/>
    <xf numFmtId="0" fontId="29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4" fillId="0" borderId="0" xfId="0" applyFont="1" applyAlignment="1"/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right" vertical="center" wrapText="1"/>
    </xf>
    <xf numFmtId="170" fontId="1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16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" fontId="29" fillId="0" borderId="2" xfId="0" applyNumberFormat="1" applyFont="1" applyBorder="1" applyAlignment="1">
      <alignment vertical="center" wrapText="1"/>
    </xf>
    <xf numFmtId="4" fontId="29" fillId="0" borderId="1" xfId="0" applyNumberFormat="1" applyFont="1" applyBorder="1" applyAlignment="1">
      <alignment horizontal="righ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6" fillId="0" borderId="1" xfId="0" applyNumberFormat="1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4" fontId="25" fillId="0" borderId="1" xfId="0" applyNumberFormat="1" applyFont="1" applyBorder="1" applyAlignment="1">
      <alignment vertical="center"/>
    </xf>
    <xf numFmtId="4" fontId="26" fillId="0" borderId="1" xfId="0" applyNumberFormat="1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4" fontId="29" fillId="2" borderId="1" xfId="0" applyNumberFormat="1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" fontId="8" fillId="0" borderId="3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top" wrapText="1"/>
    </xf>
    <xf numFmtId="0" fontId="9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vertical="center" wrapText="1"/>
    </xf>
    <xf numFmtId="4" fontId="35" fillId="0" borderId="1" xfId="0" applyNumberFormat="1" applyFont="1" applyFill="1" applyBorder="1" applyAlignment="1">
      <alignment horizontal="right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vertical="center" wrapText="1"/>
    </xf>
    <xf numFmtId="4" fontId="36" fillId="0" borderId="1" xfId="0" applyNumberFormat="1" applyFont="1" applyFill="1" applyBorder="1" applyAlignment="1">
      <alignment horizontal="right" vertical="center" wrapText="1"/>
    </xf>
    <xf numFmtId="0" fontId="36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 wrapText="1"/>
    </xf>
    <xf numFmtId="1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vertical="center" wrapText="1"/>
    </xf>
    <xf numFmtId="4" fontId="37" fillId="0" borderId="1" xfId="0" applyNumberFormat="1" applyFont="1" applyFill="1" applyBorder="1" applyAlignment="1">
      <alignment horizontal="right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center" wrapText="1"/>
    </xf>
    <xf numFmtId="4" fontId="38" fillId="0" borderId="1" xfId="0" applyNumberFormat="1" applyFont="1" applyFill="1" applyBorder="1" applyAlignment="1">
      <alignment horizontal="right" vertical="center" wrapText="1"/>
    </xf>
    <xf numFmtId="1" fontId="39" fillId="0" borderId="1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9" fillId="2" borderId="1" xfId="0" applyFont="1" applyFill="1" applyBorder="1" applyAlignment="1">
      <alignment vertical="center"/>
    </xf>
    <xf numFmtId="0" fontId="39" fillId="2" borderId="1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39" fillId="2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right"/>
    </xf>
    <xf numFmtId="0" fontId="12" fillId="2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4" fontId="38" fillId="2" borderId="1" xfId="0" applyNumberFormat="1" applyFont="1" applyFill="1" applyBorder="1" applyAlignment="1">
      <alignment horizontal="right" vertical="center" wrapText="1"/>
    </xf>
    <xf numFmtId="4" fontId="41" fillId="0" borderId="0" xfId="0" applyNumberFormat="1" applyFont="1"/>
    <xf numFmtId="0" fontId="30" fillId="0" borderId="0" xfId="0" applyFont="1"/>
    <xf numFmtId="0" fontId="35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0" fontId="42" fillId="0" borderId="1" xfId="0" applyFont="1" applyFill="1" applyBorder="1" applyAlignment="1">
      <alignment vertical="top" wrapText="1"/>
    </xf>
    <xf numFmtId="4" fontId="15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justify" vertical="center" wrapText="1"/>
    </xf>
    <xf numFmtId="0" fontId="0" fillId="0" borderId="0" xfId="0" applyFill="1"/>
    <xf numFmtId="49" fontId="0" fillId="0" borderId="0" xfId="0" applyNumberFormat="1"/>
    <xf numFmtId="4" fontId="35" fillId="0" borderId="2" xfId="0" applyNumberFormat="1" applyFont="1" applyFill="1" applyBorder="1" applyAlignment="1">
      <alignment vertical="center" wrapText="1"/>
    </xf>
    <xf numFmtId="4" fontId="36" fillId="0" borderId="2" xfId="0" applyNumberFormat="1" applyFont="1" applyFill="1" applyBorder="1" applyAlignment="1">
      <alignment vertical="center" wrapText="1"/>
    </xf>
    <xf numFmtId="4" fontId="36" fillId="0" borderId="2" xfId="0" applyNumberFormat="1" applyFont="1" applyBorder="1" applyAlignment="1">
      <alignment vertical="center" wrapText="1"/>
    </xf>
    <xf numFmtId="4" fontId="35" fillId="0" borderId="2" xfId="0" applyNumberFormat="1" applyFont="1" applyBorder="1" applyAlignment="1">
      <alignment vertical="center" wrapText="1"/>
    </xf>
    <xf numFmtId="0" fontId="36" fillId="0" borderId="2" xfId="0" applyFont="1" applyFill="1" applyBorder="1" applyAlignment="1">
      <alignment vertical="center" wrapText="1"/>
    </xf>
    <xf numFmtId="1" fontId="39" fillId="0" borderId="2" xfId="0" applyNumberFormat="1" applyFont="1" applyFill="1" applyBorder="1" applyAlignment="1">
      <alignment vertical="center"/>
    </xf>
    <xf numFmtId="0" fontId="39" fillId="0" borderId="1" xfId="0" applyNumberFormat="1" applyFont="1" applyBorder="1" applyAlignment="1">
      <alignment horizontal="left" vertical="center" wrapText="1"/>
    </xf>
    <xf numFmtId="4" fontId="39" fillId="0" borderId="3" xfId="0" applyNumberFormat="1" applyFont="1" applyFill="1" applyBorder="1" applyAlignment="1">
      <alignment horizontal="right" vertical="center"/>
    </xf>
    <xf numFmtId="4" fontId="39" fillId="0" borderId="1" xfId="0" applyNumberFormat="1" applyFont="1" applyFill="1" applyBorder="1" applyAlignment="1">
      <alignment horizontal="right" vertical="center"/>
    </xf>
    <xf numFmtId="0" fontId="28" fillId="0" borderId="1" xfId="0" applyNumberFormat="1" applyFont="1" applyBorder="1" applyAlignment="1">
      <alignment horizontal="left" vertical="center" wrapText="1"/>
    </xf>
    <xf numFmtId="4" fontId="28" fillId="0" borderId="1" xfId="0" applyNumberFormat="1" applyFont="1" applyFill="1" applyBorder="1" applyAlignment="1">
      <alignment horizontal="right" vertical="center"/>
    </xf>
    <xf numFmtId="0" fontId="28" fillId="0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4" fontId="12" fillId="2" borderId="1" xfId="0" applyNumberFormat="1" applyFont="1" applyFill="1" applyBorder="1" applyAlignment="1">
      <alignment vertical="center" wrapText="1"/>
    </xf>
    <xf numFmtId="0" fontId="26" fillId="0" borderId="1" xfId="0" applyNumberFormat="1" applyFont="1" applyFill="1" applyBorder="1" applyAlignment="1">
      <alignment horizontal="left" vertical="top" wrapText="1"/>
    </xf>
    <xf numFmtId="4" fontId="26" fillId="0" borderId="3" xfId="0" applyNumberFormat="1" applyFont="1" applyBorder="1" applyAlignment="1">
      <alignment horizontal="right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32" fillId="0" borderId="0" xfId="0" applyFont="1"/>
    <xf numFmtId="0" fontId="2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left" vertical="center"/>
    </xf>
    <xf numFmtId="49" fontId="25" fillId="0" borderId="11" xfId="0" applyNumberFormat="1" applyFont="1" applyBorder="1" applyAlignment="1">
      <alignment horizontal="left" vertical="center"/>
    </xf>
    <xf numFmtId="49" fontId="25" fillId="0" borderId="3" xfId="0" applyNumberFormat="1" applyFont="1" applyBorder="1" applyAlignment="1">
      <alignment horizontal="left" vertical="center"/>
    </xf>
    <xf numFmtId="0" fontId="15" fillId="0" borderId="7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6" fillId="0" borderId="7" xfId="0" applyNumberFormat="1" applyFont="1" applyFill="1" applyBorder="1" applyAlignment="1">
      <alignment vertical="center" wrapText="1"/>
    </xf>
    <xf numFmtId="0" fontId="26" fillId="0" borderId="3" xfId="0" applyNumberFormat="1" applyFont="1" applyFill="1" applyBorder="1" applyAlignment="1">
      <alignment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/>
    </xf>
    <xf numFmtId="164" fontId="12" fillId="0" borderId="6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2" fillId="0" borderId="6" xfId="0" applyNumberFormat="1" applyFont="1" applyFill="1" applyBorder="1" applyAlignment="1">
      <alignment horizontal="center" vertical="center" wrapText="1"/>
    </xf>
    <xf numFmtId="165" fontId="12" fillId="0" borderId="4" xfId="0" applyNumberFormat="1" applyFont="1" applyFill="1" applyBorder="1" applyAlignment="1">
      <alignment horizontal="center" vertical="center" wrapText="1"/>
    </xf>
    <xf numFmtId="168" fontId="12" fillId="2" borderId="2" xfId="0" applyNumberFormat="1" applyFont="1" applyFill="1" applyBorder="1" applyAlignment="1">
      <alignment horizontal="center" vertical="center" wrapText="1"/>
    </xf>
    <xf numFmtId="168" fontId="12" fillId="2" borderId="6" xfId="0" applyNumberFormat="1" applyFont="1" applyFill="1" applyBorder="1" applyAlignment="1">
      <alignment horizontal="center" vertical="center" wrapText="1"/>
    </xf>
    <xf numFmtId="168" fontId="12" fillId="2" borderId="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workbookViewId="0"/>
  </sheetViews>
  <sheetFormatPr defaultRowHeight="15" x14ac:dyDescent="0.25"/>
  <cols>
    <col min="2" max="2" width="48.85546875" customWidth="1"/>
    <col min="3" max="3" width="21.85546875" customWidth="1"/>
    <col min="4" max="4" width="15" customWidth="1"/>
    <col min="5" max="5" width="20.5703125" customWidth="1"/>
    <col min="6" max="6" width="42" customWidth="1"/>
  </cols>
  <sheetData>
    <row r="1" spans="1:6" ht="18.75" x14ac:dyDescent="0.25">
      <c r="A1" s="22"/>
      <c r="B1" s="22"/>
      <c r="C1" s="22"/>
      <c r="D1" s="9"/>
      <c r="E1" s="9" t="s">
        <v>385</v>
      </c>
      <c r="F1" s="9"/>
    </row>
    <row r="2" spans="1:6" ht="18.75" x14ac:dyDescent="0.25">
      <c r="A2" s="22"/>
      <c r="B2" s="22"/>
      <c r="C2" s="22"/>
      <c r="D2" s="10"/>
      <c r="E2" s="10" t="s">
        <v>494</v>
      </c>
      <c r="F2" s="10"/>
    </row>
    <row r="3" spans="1:6" ht="15.75" customHeight="1" x14ac:dyDescent="0.25">
      <c r="A3" s="22"/>
      <c r="B3" s="22"/>
      <c r="C3" s="22"/>
      <c r="D3" s="10"/>
      <c r="E3" s="10"/>
      <c r="F3" s="10"/>
    </row>
    <row r="4" spans="1:6" ht="18.75" x14ac:dyDescent="0.25">
      <c r="A4" s="248" t="s">
        <v>469</v>
      </c>
      <c r="B4" s="248"/>
      <c r="C4" s="248"/>
      <c r="D4" s="248"/>
      <c r="E4" s="248"/>
      <c r="F4" s="248"/>
    </row>
    <row r="5" spans="1:6" x14ac:dyDescent="0.25">
      <c r="A5" s="214" t="s">
        <v>333</v>
      </c>
      <c r="B5" s="215"/>
      <c r="C5" s="215"/>
      <c r="D5" s="215"/>
      <c r="E5" s="215"/>
      <c r="F5" s="215"/>
    </row>
    <row r="6" spans="1:6" ht="15" customHeight="1" x14ac:dyDescent="0.25">
      <c r="A6" s="214"/>
      <c r="B6" s="215"/>
      <c r="C6" s="215"/>
      <c r="D6" s="215"/>
      <c r="E6" s="215"/>
      <c r="F6" s="216" t="s">
        <v>137</v>
      </c>
    </row>
    <row r="7" spans="1:6" ht="15" customHeight="1" x14ac:dyDescent="0.25">
      <c r="A7" s="249" t="s">
        <v>463</v>
      </c>
      <c r="B7" s="251" t="s">
        <v>464</v>
      </c>
      <c r="C7" s="249" t="s">
        <v>147</v>
      </c>
      <c r="D7" s="253" t="s">
        <v>465</v>
      </c>
      <c r="E7" s="254"/>
      <c r="F7" s="249" t="s">
        <v>466</v>
      </c>
    </row>
    <row r="8" spans="1:6" x14ac:dyDescent="0.25">
      <c r="A8" s="250"/>
      <c r="B8" s="252"/>
      <c r="C8" s="250"/>
      <c r="D8" s="217" t="s">
        <v>467</v>
      </c>
      <c r="E8" s="217" t="s">
        <v>468</v>
      </c>
      <c r="F8" s="250"/>
    </row>
    <row r="9" spans="1:6" x14ac:dyDescent="0.25">
      <c r="A9" s="218">
        <v>1</v>
      </c>
      <c r="B9" s="218">
        <v>2</v>
      </c>
      <c r="C9" s="218">
        <v>3</v>
      </c>
      <c r="D9" s="218">
        <v>4</v>
      </c>
      <c r="E9" s="218">
        <v>5</v>
      </c>
      <c r="F9" s="219">
        <v>6</v>
      </c>
    </row>
    <row r="10" spans="1:6" x14ac:dyDescent="0.25">
      <c r="A10" s="220" t="s">
        <v>153</v>
      </c>
      <c r="B10" s="223" t="s">
        <v>21</v>
      </c>
      <c r="C10" s="222">
        <f>SUM(C11:C12)</f>
        <v>3322570</v>
      </c>
      <c r="D10" s="222">
        <f>SUM(D11:D12)</f>
        <v>3200000</v>
      </c>
      <c r="E10" s="222">
        <f>SUM(E11:E12)</f>
        <v>122570</v>
      </c>
      <c r="F10" s="221"/>
    </row>
    <row r="11" spans="1:6" ht="51" x14ac:dyDescent="0.25">
      <c r="A11" s="246" t="s">
        <v>196</v>
      </c>
      <c r="B11" s="221" t="s">
        <v>234</v>
      </c>
      <c r="C11" s="222">
        <f>SUM(D11:E11)</f>
        <v>3200000</v>
      </c>
      <c r="D11" s="224">
        <v>3200000</v>
      </c>
      <c r="E11" s="224"/>
      <c r="F11" s="225" t="s">
        <v>498</v>
      </c>
    </row>
    <row r="12" spans="1:6" ht="63.75" x14ac:dyDescent="0.25">
      <c r="A12" s="246" t="s">
        <v>403</v>
      </c>
      <c r="B12" s="221" t="s">
        <v>402</v>
      </c>
      <c r="C12" s="222">
        <f>SUM(D12:E12)</f>
        <v>122570</v>
      </c>
      <c r="D12" s="224"/>
      <c r="E12" s="224">
        <v>122570</v>
      </c>
      <c r="F12" s="225"/>
    </row>
    <row r="13" spans="1:6" x14ac:dyDescent="0.25">
      <c r="A13" s="226"/>
      <c r="B13" s="226"/>
      <c r="C13" s="226"/>
      <c r="D13" s="226"/>
      <c r="E13" s="226"/>
      <c r="F13" s="226"/>
    </row>
    <row r="14" spans="1:6" x14ac:dyDescent="0.25">
      <c r="B14" s="227"/>
      <c r="E14" s="35"/>
    </row>
    <row r="16" spans="1:6" ht="18.75" x14ac:dyDescent="0.3">
      <c r="B16" s="27" t="s">
        <v>230</v>
      </c>
      <c r="D16" s="27"/>
      <c r="E16" s="27" t="s">
        <v>231</v>
      </c>
      <c r="F16" s="27"/>
    </row>
    <row r="20" spans="3:5" ht="18.75" x14ac:dyDescent="0.3">
      <c r="E20" s="27"/>
    </row>
    <row r="27" spans="3:5" ht="14.45" x14ac:dyDescent="0.3">
      <c r="C27" s="35"/>
    </row>
  </sheetData>
  <mergeCells count="6">
    <mergeCell ref="A4:F4"/>
    <mergeCell ref="A7:A8"/>
    <mergeCell ref="B7:B8"/>
    <mergeCell ref="C7:C8"/>
    <mergeCell ref="D7:E7"/>
    <mergeCell ref="F7:F8"/>
  </mergeCells>
  <pageMargins left="0.70866141732283472" right="0.31496062992125984" top="0.55118110236220474" bottom="0.55118110236220474" header="0.11811023622047245" footer="0.11811023622047245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1"/>
  <sheetViews>
    <sheetView workbookViewId="0"/>
  </sheetViews>
  <sheetFormatPr defaultRowHeight="15" x14ac:dyDescent="0.25"/>
  <cols>
    <col min="2" max="2" width="51.140625" customWidth="1"/>
    <col min="3" max="4" width="12.85546875" customWidth="1"/>
    <col min="5" max="5" width="12.28515625" customWidth="1"/>
    <col min="6" max="6" width="12.85546875" customWidth="1"/>
    <col min="7" max="7" width="12" customWidth="1"/>
    <col min="8" max="8" width="11.28515625" customWidth="1"/>
    <col min="9" max="9" width="11" customWidth="1"/>
    <col min="10" max="10" width="11.5703125" customWidth="1"/>
  </cols>
  <sheetData>
    <row r="1" spans="1:10" ht="18.75" x14ac:dyDescent="0.25">
      <c r="A1" s="22"/>
      <c r="B1" s="22"/>
      <c r="C1" s="22"/>
      <c r="D1" s="9"/>
      <c r="E1" s="9"/>
      <c r="F1" s="9"/>
      <c r="G1" s="9" t="s">
        <v>139</v>
      </c>
      <c r="H1" s="22"/>
      <c r="I1" s="22"/>
      <c r="J1" s="22"/>
    </row>
    <row r="2" spans="1:10" ht="18.75" x14ac:dyDescent="0.25">
      <c r="A2" s="22"/>
      <c r="B2" s="22"/>
      <c r="C2" s="22"/>
      <c r="D2" s="10"/>
      <c r="E2" s="10"/>
      <c r="F2" s="10"/>
      <c r="G2" s="10" t="s">
        <v>494</v>
      </c>
      <c r="H2" s="22"/>
      <c r="I2" s="22"/>
      <c r="J2" s="22"/>
    </row>
    <row r="3" spans="1:10" ht="18.75" x14ac:dyDescent="0.25">
      <c r="A3" s="255" t="s">
        <v>346</v>
      </c>
      <c r="B3" s="255"/>
      <c r="C3" s="255"/>
      <c r="D3" s="255"/>
      <c r="E3" s="255"/>
      <c r="F3" s="255"/>
      <c r="G3" s="255"/>
      <c r="H3" s="255"/>
      <c r="I3" s="255"/>
      <c r="J3" s="255"/>
    </row>
    <row r="4" spans="1:10" x14ac:dyDescent="0.25">
      <c r="A4" s="23" t="s">
        <v>333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x14ac:dyDescent="0.25">
      <c r="A5" s="23"/>
      <c r="B5" s="22"/>
      <c r="C5" s="22"/>
      <c r="D5" s="22"/>
      <c r="E5" s="22"/>
      <c r="F5" s="22"/>
      <c r="G5" s="22"/>
      <c r="H5" s="22"/>
      <c r="I5" s="22"/>
      <c r="J5" s="22" t="s">
        <v>137</v>
      </c>
    </row>
    <row r="6" spans="1:10" ht="15" customHeight="1" x14ac:dyDescent="0.25">
      <c r="A6" s="256" t="s">
        <v>56</v>
      </c>
      <c r="B6" s="256" t="s">
        <v>57</v>
      </c>
      <c r="C6" s="256" t="s">
        <v>58</v>
      </c>
      <c r="D6" s="257" t="s">
        <v>7</v>
      </c>
      <c r="E6" s="257"/>
      <c r="F6" s="257"/>
      <c r="G6" s="257" t="s">
        <v>8</v>
      </c>
      <c r="H6" s="257"/>
      <c r="I6" s="257"/>
      <c r="J6" s="257"/>
    </row>
    <row r="7" spans="1:10" ht="36" x14ac:dyDescent="0.25">
      <c r="A7" s="256"/>
      <c r="B7" s="256"/>
      <c r="C7" s="256"/>
      <c r="D7" s="213" t="s">
        <v>335</v>
      </c>
      <c r="E7" s="213" t="s">
        <v>336</v>
      </c>
      <c r="F7" s="213" t="s">
        <v>337</v>
      </c>
      <c r="G7" s="213" t="s">
        <v>335</v>
      </c>
      <c r="H7" s="213" t="s">
        <v>336</v>
      </c>
      <c r="I7" s="213" t="s">
        <v>10</v>
      </c>
      <c r="J7" s="213" t="s">
        <v>337</v>
      </c>
    </row>
    <row r="8" spans="1:10" x14ac:dyDescent="0.25">
      <c r="A8" s="85">
        <v>1</v>
      </c>
      <c r="B8" s="85">
        <v>2</v>
      </c>
      <c r="C8" s="85">
        <v>3</v>
      </c>
      <c r="D8" s="85">
        <v>4</v>
      </c>
      <c r="E8" s="85">
        <v>5</v>
      </c>
      <c r="F8" s="85">
        <v>6</v>
      </c>
      <c r="G8" s="85">
        <v>7</v>
      </c>
      <c r="H8" s="85">
        <v>8</v>
      </c>
      <c r="I8" s="85">
        <v>9</v>
      </c>
      <c r="J8" s="85">
        <v>10</v>
      </c>
    </row>
    <row r="9" spans="1:10" x14ac:dyDescent="0.25">
      <c r="A9" s="86">
        <v>10000000</v>
      </c>
      <c r="B9" s="87" t="s">
        <v>59</v>
      </c>
      <c r="C9" s="88">
        <f>SUM(F9+J9)</f>
        <v>538205984</v>
      </c>
      <c r="D9" s="88">
        <f>SUM(D10+D19+D29+D37+D53)</f>
        <v>532503000</v>
      </c>
      <c r="E9" s="88">
        <f t="shared" ref="E9:I9" si="0">SUM(E10+E19+E29+E37+E53)</f>
        <v>5037684</v>
      </c>
      <c r="F9" s="88">
        <f>SUM(D9:E9)</f>
        <v>537540684</v>
      </c>
      <c r="G9" s="88">
        <f t="shared" si="0"/>
        <v>665300</v>
      </c>
      <c r="H9" s="88">
        <f t="shared" si="0"/>
        <v>0</v>
      </c>
      <c r="I9" s="88">
        <f t="shared" si="0"/>
        <v>0</v>
      </c>
      <c r="J9" s="88">
        <f>SUM(G9:H9)</f>
        <v>665300</v>
      </c>
    </row>
    <row r="10" spans="1:10" ht="24" x14ac:dyDescent="0.25">
      <c r="A10" s="86">
        <v>11000000</v>
      </c>
      <c r="B10" s="87" t="s">
        <v>60</v>
      </c>
      <c r="C10" s="88">
        <f t="shared" ref="C10:C73" si="1">SUM(F10+J10)</f>
        <v>285105000</v>
      </c>
      <c r="D10" s="89">
        <f>SUM(D11+D17)</f>
        <v>283505000</v>
      </c>
      <c r="E10" s="89">
        <f t="shared" ref="E10:I10" si="2">SUM(E11+E17)</f>
        <v>1600000</v>
      </c>
      <c r="F10" s="88">
        <f t="shared" ref="F10:F73" si="3">SUM(D10:E10)</f>
        <v>285105000</v>
      </c>
      <c r="G10" s="89">
        <f t="shared" si="2"/>
        <v>0</v>
      </c>
      <c r="H10" s="89">
        <f t="shared" si="2"/>
        <v>0</v>
      </c>
      <c r="I10" s="89">
        <f t="shared" si="2"/>
        <v>0</v>
      </c>
      <c r="J10" s="88">
        <f t="shared" ref="J10:J73" si="4">SUM(G10:H10)</f>
        <v>0</v>
      </c>
    </row>
    <row r="11" spans="1:10" x14ac:dyDescent="0.25">
      <c r="A11" s="90">
        <v>11010000</v>
      </c>
      <c r="B11" s="91" t="s">
        <v>61</v>
      </c>
      <c r="C11" s="88">
        <f t="shared" si="1"/>
        <v>284985000</v>
      </c>
      <c r="D11" s="89">
        <f>SUM(D12:D16)</f>
        <v>283385000</v>
      </c>
      <c r="E11" s="89">
        <f t="shared" ref="E11:I11" si="5">SUM(E12:E16)</f>
        <v>1600000</v>
      </c>
      <c r="F11" s="88">
        <f t="shared" si="3"/>
        <v>284985000</v>
      </c>
      <c r="G11" s="89">
        <f t="shared" si="5"/>
        <v>0</v>
      </c>
      <c r="H11" s="89">
        <f t="shared" si="5"/>
        <v>0</v>
      </c>
      <c r="I11" s="89">
        <f t="shared" si="5"/>
        <v>0</v>
      </c>
      <c r="J11" s="88">
        <f t="shared" si="4"/>
        <v>0</v>
      </c>
    </row>
    <row r="12" spans="1:10" ht="24" x14ac:dyDescent="0.25">
      <c r="A12" s="90">
        <v>11010100</v>
      </c>
      <c r="B12" s="91" t="s">
        <v>62</v>
      </c>
      <c r="C12" s="88">
        <f t="shared" si="1"/>
        <v>271315000</v>
      </c>
      <c r="D12" s="92">
        <v>271315000</v>
      </c>
      <c r="E12" s="92"/>
      <c r="F12" s="88">
        <f t="shared" si="3"/>
        <v>271315000</v>
      </c>
      <c r="G12" s="93"/>
      <c r="H12" s="93"/>
      <c r="I12" s="93"/>
      <c r="J12" s="88">
        <f t="shared" si="4"/>
        <v>0</v>
      </c>
    </row>
    <row r="13" spans="1:10" ht="24" x14ac:dyDescent="0.25">
      <c r="A13" s="90">
        <v>11010400</v>
      </c>
      <c r="B13" s="91" t="s">
        <v>63</v>
      </c>
      <c r="C13" s="88">
        <f t="shared" si="1"/>
        <v>4505000</v>
      </c>
      <c r="D13" s="92">
        <v>4505000</v>
      </c>
      <c r="E13" s="92"/>
      <c r="F13" s="88">
        <f t="shared" si="3"/>
        <v>4505000</v>
      </c>
      <c r="G13" s="93"/>
      <c r="H13" s="93"/>
      <c r="I13" s="93"/>
      <c r="J13" s="88">
        <f t="shared" si="4"/>
        <v>0</v>
      </c>
    </row>
    <row r="14" spans="1:10" ht="24" x14ac:dyDescent="0.25">
      <c r="A14" s="90">
        <v>11010500</v>
      </c>
      <c r="B14" s="91" t="s">
        <v>64</v>
      </c>
      <c r="C14" s="88">
        <f t="shared" si="1"/>
        <v>7600000</v>
      </c>
      <c r="D14" s="92">
        <v>6600000</v>
      </c>
      <c r="E14" s="92">
        <v>1000000</v>
      </c>
      <c r="F14" s="88">
        <f t="shared" si="3"/>
        <v>7600000</v>
      </c>
      <c r="G14" s="93"/>
      <c r="H14" s="93"/>
      <c r="I14" s="93"/>
      <c r="J14" s="88">
        <f t="shared" si="4"/>
        <v>0</v>
      </c>
    </row>
    <row r="15" spans="1:10" ht="24" x14ac:dyDescent="0.25">
      <c r="A15" s="94">
        <v>11011200</v>
      </c>
      <c r="B15" s="95" t="s">
        <v>235</v>
      </c>
      <c r="C15" s="88">
        <f t="shared" si="1"/>
        <v>1500000</v>
      </c>
      <c r="D15" s="92">
        <v>900000</v>
      </c>
      <c r="E15" s="92">
        <v>600000</v>
      </c>
      <c r="F15" s="88">
        <f t="shared" si="3"/>
        <v>1500000</v>
      </c>
      <c r="G15" s="93"/>
      <c r="H15" s="93"/>
      <c r="I15" s="93"/>
      <c r="J15" s="88">
        <f t="shared" si="4"/>
        <v>0</v>
      </c>
    </row>
    <row r="16" spans="1:10" ht="24" x14ac:dyDescent="0.25">
      <c r="A16" s="94">
        <v>11011300</v>
      </c>
      <c r="B16" s="95" t="s">
        <v>236</v>
      </c>
      <c r="C16" s="88">
        <f t="shared" si="1"/>
        <v>65000</v>
      </c>
      <c r="D16" s="92">
        <v>65000</v>
      </c>
      <c r="E16" s="92"/>
      <c r="F16" s="88">
        <f t="shared" si="3"/>
        <v>65000</v>
      </c>
      <c r="G16" s="93"/>
      <c r="H16" s="93"/>
      <c r="I16" s="93"/>
      <c r="J16" s="88">
        <f t="shared" si="4"/>
        <v>0</v>
      </c>
    </row>
    <row r="17" spans="1:10" x14ac:dyDescent="0.25">
      <c r="A17" s="86">
        <v>11020000</v>
      </c>
      <c r="B17" s="87" t="s">
        <v>65</v>
      </c>
      <c r="C17" s="88">
        <f t="shared" si="1"/>
        <v>120000</v>
      </c>
      <c r="D17" s="89">
        <f>SUM(D18)</f>
        <v>120000</v>
      </c>
      <c r="E17" s="89">
        <f t="shared" ref="E17:I17" si="6">SUM(E18)</f>
        <v>0</v>
      </c>
      <c r="F17" s="88">
        <f t="shared" si="3"/>
        <v>120000</v>
      </c>
      <c r="G17" s="89">
        <f t="shared" si="6"/>
        <v>0</v>
      </c>
      <c r="H17" s="89">
        <f t="shared" si="6"/>
        <v>0</v>
      </c>
      <c r="I17" s="89">
        <f t="shared" si="6"/>
        <v>0</v>
      </c>
      <c r="J17" s="88">
        <f t="shared" si="4"/>
        <v>0</v>
      </c>
    </row>
    <row r="18" spans="1:10" ht="24" x14ac:dyDescent="0.25">
      <c r="A18" s="90">
        <v>11020200</v>
      </c>
      <c r="B18" s="91" t="s">
        <v>66</v>
      </c>
      <c r="C18" s="88">
        <f t="shared" si="1"/>
        <v>120000</v>
      </c>
      <c r="D18" s="92">
        <v>120000</v>
      </c>
      <c r="E18" s="92"/>
      <c r="F18" s="88">
        <f t="shared" si="3"/>
        <v>120000</v>
      </c>
      <c r="G18" s="92"/>
      <c r="H18" s="92"/>
      <c r="I18" s="92"/>
      <c r="J18" s="88">
        <f t="shared" si="4"/>
        <v>0</v>
      </c>
    </row>
    <row r="19" spans="1:10" ht="24" x14ac:dyDescent="0.25">
      <c r="A19" s="86">
        <v>13000000</v>
      </c>
      <c r="B19" s="87" t="s">
        <v>67</v>
      </c>
      <c r="C19" s="88">
        <f t="shared" si="1"/>
        <v>42365000</v>
      </c>
      <c r="D19" s="89">
        <f>SUM(D20+D23+D27)</f>
        <v>41365000</v>
      </c>
      <c r="E19" s="89">
        <f t="shared" ref="E19:I19" si="7">SUM(E20+E23+E27)</f>
        <v>1000000</v>
      </c>
      <c r="F19" s="88">
        <f t="shared" si="3"/>
        <v>42365000</v>
      </c>
      <c r="G19" s="89">
        <f t="shared" si="7"/>
        <v>0</v>
      </c>
      <c r="H19" s="89">
        <f t="shared" si="7"/>
        <v>0</v>
      </c>
      <c r="I19" s="89">
        <f t="shared" si="7"/>
        <v>0</v>
      </c>
      <c r="J19" s="88">
        <f t="shared" si="4"/>
        <v>0</v>
      </c>
    </row>
    <row r="20" spans="1:10" x14ac:dyDescent="0.25">
      <c r="A20" s="86">
        <v>13010000</v>
      </c>
      <c r="B20" s="87" t="s">
        <v>68</v>
      </c>
      <c r="C20" s="88">
        <f t="shared" si="1"/>
        <v>1310000</v>
      </c>
      <c r="D20" s="89">
        <f>SUM(D21:D22)</f>
        <v>1310000</v>
      </c>
      <c r="E20" s="89">
        <f t="shared" ref="E20:I20" si="8">SUM(E21:E22)</f>
        <v>0</v>
      </c>
      <c r="F20" s="88">
        <f t="shared" si="3"/>
        <v>1310000</v>
      </c>
      <c r="G20" s="89">
        <f t="shared" si="8"/>
        <v>0</v>
      </c>
      <c r="H20" s="89">
        <f t="shared" si="8"/>
        <v>0</v>
      </c>
      <c r="I20" s="89">
        <f t="shared" si="8"/>
        <v>0</v>
      </c>
      <c r="J20" s="88">
        <f t="shared" si="4"/>
        <v>0</v>
      </c>
    </row>
    <row r="21" spans="1:10" ht="36" x14ac:dyDescent="0.25">
      <c r="A21" s="90">
        <v>13010100</v>
      </c>
      <c r="B21" s="91" t="s">
        <v>69</v>
      </c>
      <c r="C21" s="88">
        <f t="shared" si="1"/>
        <v>360000</v>
      </c>
      <c r="D21" s="92">
        <v>360000</v>
      </c>
      <c r="E21" s="92"/>
      <c r="F21" s="88">
        <f t="shared" si="3"/>
        <v>360000</v>
      </c>
      <c r="G21" s="92"/>
      <c r="H21" s="92"/>
      <c r="I21" s="92"/>
      <c r="J21" s="88">
        <f t="shared" si="4"/>
        <v>0</v>
      </c>
    </row>
    <row r="22" spans="1:10" ht="48" x14ac:dyDescent="0.25">
      <c r="A22" s="90">
        <v>13010200</v>
      </c>
      <c r="B22" s="91" t="s">
        <v>70</v>
      </c>
      <c r="C22" s="88">
        <f t="shared" si="1"/>
        <v>950000</v>
      </c>
      <c r="D22" s="92">
        <v>950000</v>
      </c>
      <c r="E22" s="92"/>
      <c r="F22" s="88">
        <f t="shared" si="3"/>
        <v>950000</v>
      </c>
      <c r="G22" s="92"/>
      <c r="H22" s="92"/>
      <c r="I22" s="92"/>
      <c r="J22" s="88">
        <f t="shared" si="4"/>
        <v>0</v>
      </c>
    </row>
    <row r="23" spans="1:10" x14ac:dyDescent="0.25">
      <c r="A23" s="86">
        <v>13030000</v>
      </c>
      <c r="B23" s="87" t="s">
        <v>71</v>
      </c>
      <c r="C23" s="88">
        <f t="shared" si="1"/>
        <v>41015000</v>
      </c>
      <c r="D23" s="89">
        <f>SUM(D24:D26)</f>
        <v>40015000</v>
      </c>
      <c r="E23" s="89">
        <f t="shared" ref="E23:I23" si="9">SUM(E24:E26)</f>
        <v>1000000</v>
      </c>
      <c r="F23" s="88">
        <f t="shared" si="3"/>
        <v>41015000</v>
      </c>
      <c r="G23" s="89">
        <f t="shared" si="9"/>
        <v>0</v>
      </c>
      <c r="H23" s="89">
        <f t="shared" si="9"/>
        <v>0</v>
      </c>
      <c r="I23" s="89">
        <f t="shared" si="9"/>
        <v>0</v>
      </c>
      <c r="J23" s="88">
        <f t="shared" si="4"/>
        <v>0</v>
      </c>
    </row>
    <row r="24" spans="1:10" ht="24" x14ac:dyDescent="0.25">
      <c r="A24" s="90">
        <v>13030100</v>
      </c>
      <c r="B24" s="91" t="s">
        <v>72</v>
      </c>
      <c r="C24" s="88">
        <f t="shared" si="1"/>
        <v>580000</v>
      </c>
      <c r="D24" s="92">
        <v>580000</v>
      </c>
      <c r="E24" s="92"/>
      <c r="F24" s="88">
        <f t="shared" si="3"/>
        <v>580000</v>
      </c>
      <c r="G24" s="92"/>
      <c r="H24" s="92"/>
      <c r="I24" s="92"/>
      <c r="J24" s="88">
        <f t="shared" si="4"/>
        <v>0</v>
      </c>
    </row>
    <row r="25" spans="1:10" x14ac:dyDescent="0.25">
      <c r="A25" s="90">
        <v>13030700</v>
      </c>
      <c r="B25" s="91" t="s">
        <v>73</v>
      </c>
      <c r="C25" s="88">
        <f t="shared" si="1"/>
        <v>30090000</v>
      </c>
      <c r="D25" s="92">
        <v>30090000</v>
      </c>
      <c r="E25" s="92"/>
      <c r="F25" s="88">
        <f t="shared" si="3"/>
        <v>30090000</v>
      </c>
      <c r="G25" s="93"/>
      <c r="H25" s="93"/>
      <c r="I25" s="93"/>
      <c r="J25" s="88">
        <f t="shared" si="4"/>
        <v>0</v>
      </c>
    </row>
    <row r="26" spans="1:10" ht="24" x14ac:dyDescent="0.25">
      <c r="A26" s="90">
        <v>13030800</v>
      </c>
      <c r="B26" s="91" t="s">
        <v>74</v>
      </c>
      <c r="C26" s="88">
        <f t="shared" si="1"/>
        <v>10345000</v>
      </c>
      <c r="D26" s="92">
        <v>9345000</v>
      </c>
      <c r="E26" s="92">
        <v>1000000</v>
      </c>
      <c r="F26" s="88">
        <f t="shared" si="3"/>
        <v>10345000</v>
      </c>
      <c r="G26" s="93"/>
      <c r="H26" s="93"/>
      <c r="I26" s="93"/>
      <c r="J26" s="88">
        <f t="shared" si="4"/>
        <v>0</v>
      </c>
    </row>
    <row r="27" spans="1:10" x14ac:dyDescent="0.25">
      <c r="A27" s="96">
        <v>13040000</v>
      </c>
      <c r="B27" s="97" t="s">
        <v>237</v>
      </c>
      <c r="C27" s="88">
        <f t="shared" si="1"/>
        <v>40000</v>
      </c>
      <c r="D27" s="89">
        <f>SUM(D28)</f>
        <v>40000</v>
      </c>
      <c r="E27" s="89">
        <f t="shared" ref="E27:I27" si="10">SUM(E28)</f>
        <v>0</v>
      </c>
      <c r="F27" s="88">
        <f t="shared" si="3"/>
        <v>40000</v>
      </c>
      <c r="G27" s="89">
        <f t="shared" si="10"/>
        <v>0</v>
      </c>
      <c r="H27" s="89">
        <f t="shared" si="10"/>
        <v>0</v>
      </c>
      <c r="I27" s="89">
        <f t="shared" si="10"/>
        <v>0</v>
      </c>
      <c r="J27" s="88">
        <f t="shared" si="4"/>
        <v>0</v>
      </c>
    </row>
    <row r="28" spans="1:10" ht="24" x14ac:dyDescent="0.25">
      <c r="A28" s="90">
        <v>13040100</v>
      </c>
      <c r="B28" s="91" t="s">
        <v>75</v>
      </c>
      <c r="C28" s="88">
        <f t="shared" si="1"/>
        <v>40000</v>
      </c>
      <c r="D28" s="92">
        <v>40000</v>
      </c>
      <c r="E28" s="92"/>
      <c r="F28" s="88">
        <f t="shared" si="3"/>
        <v>40000</v>
      </c>
      <c r="G28" s="93"/>
      <c r="H28" s="93"/>
      <c r="I28" s="93"/>
      <c r="J28" s="88">
        <f t="shared" si="4"/>
        <v>0</v>
      </c>
    </row>
    <row r="29" spans="1:10" x14ac:dyDescent="0.25">
      <c r="A29" s="86">
        <v>14000000</v>
      </c>
      <c r="B29" s="87" t="s">
        <v>76</v>
      </c>
      <c r="C29" s="88">
        <f t="shared" si="1"/>
        <v>49110000</v>
      </c>
      <c r="D29" s="89">
        <f>SUM(D30+D32+D34)</f>
        <v>49110000</v>
      </c>
      <c r="E29" s="89">
        <f t="shared" ref="E29:I29" si="11">SUM(E30+E32+E34)</f>
        <v>0</v>
      </c>
      <c r="F29" s="88">
        <f t="shared" si="3"/>
        <v>49110000</v>
      </c>
      <c r="G29" s="89">
        <f t="shared" si="11"/>
        <v>0</v>
      </c>
      <c r="H29" s="89">
        <f t="shared" si="11"/>
        <v>0</v>
      </c>
      <c r="I29" s="89">
        <f t="shared" si="11"/>
        <v>0</v>
      </c>
      <c r="J29" s="88">
        <f t="shared" si="4"/>
        <v>0</v>
      </c>
    </row>
    <row r="30" spans="1:10" ht="24" x14ac:dyDescent="0.25">
      <c r="A30" s="86">
        <v>14020000</v>
      </c>
      <c r="B30" s="87" t="s">
        <v>77</v>
      </c>
      <c r="C30" s="88">
        <f t="shared" si="1"/>
        <v>4200000</v>
      </c>
      <c r="D30" s="89">
        <f>SUM(D31)</f>
        <v>4200000</v>
      </c>
      <c r="E30" s="89">
        <f t="shared" ref="E30:I30" si="12">SUM(E31)</f>
        <v>0</v>
      </c>
      <c r="F30" s="88">
        <f t="shared" si="3"/>
        <v>4200000</v>
      </c>
      <c r="G30" s="89">
        <f t="shared" si="12"/>
        <v>0</v>
      </c>
      <c r="H30" s="89">
        <f t="shared" si="12"/>
        <v>0</v>
      </c>
      <c r="I30" s="89">
        <f t="shared" si="12"/>
        <v>0</v>
      </c>
      <c r="J30" s="88">
        <f t="shared" si="4"/>
        <v>0</v>
      </c>
    </row>
    <row r="31" spans="1:10" x14ac:dyDescent="0.25">
      <c r="A31" s="90">
        <v>14021900</v>
      </c>
      <c r="B31" s="91" t="s">
        <v>78</v>
      </c>
      <c r="C31" s="88">
        <f t="shared" si="1"/>
        <v>4200000</v>
      </c>
      <c r="D31" s="92">
        <v>4200000</v>
      </c>
      <c r="E31" s="92"/>
      <c r="F31" s="88">
        <f t="shared" si="3"/>
        <v>4200000</v>
      </c>
      <c r="G31" s="92"/>
      <c r="H31" s="92"/>
      <c r="I31" s="92"/>
      <c r="J31" s="88">
        <f t="shared" si="4"/>
        <v>0</v>
      </c>
    </row>
    <row r="32" spans="1:10" ht="24" x14ac:dyDescent="0.25">
      <c r="A32" s="86">
        <v>14030000</v>
      </c>
      <c r="B32" s="87" t="s">
        <v>79</v>
      </c>
      <c r="C32" s="88">
        <f t="shared" si="1"/>
        <v>33475000</v>
      </c>
      <c r="D32" s="89">
        <f>SUM(D33)</f>
        <v>33475000</v>
      </c>
      <c r="E32" s="89">
        <f t="shared" ref="E32:I32" si="13">SUM(E33)</f>
        <v>0</v>
      </c>
      <c r="F32" s="88">
        <f t="shared" si="3"/>
        <v>33475000</v>
      </c>
      <c r="G32" s="89">
        <f t="shared" si="13"/>
        <v>0</v>
      </c>
      <c r="H32" s="89">
        <f t="shared" si="13"/>
        <v>0</v>
      </c>
      <c r="I32" s="89">
        <f t="shared" si="13"/>
        <v>0</v>
      </c>
      <c r="J32" s="88">
        <f t="shared" si="4"/>
        <v>0</v>
      </c>
    </row>
    <row r="33" spans="1:10" x14ac:dyDescent="0.25">
      <c r="A33" s="90">
        <v>14031900</v>
      </c>
      <c r="B33" s="91" t="s">
        <v>78</v>
      </c>
      <c r="C33" s="88">
        <f t="shared" si="1"/>
        <v>33475000</v>
      </c>
      <c r="D33" s="92">
        <v>33475000</v>
      </c>
      <c r="E33" s="92"/>
      <c r="F33" s="88">
        <f t="shared" si="3"/>
        <v>33475000</v>
      </c>
      <c r="G33" s="92"/>
      <c r="H33" s="92"/>
      <c r="I33" s="92"/>
      <c r="J33" s="88">
        <f t="shared" si="4"/>
        <v>0</v>
      </c>
    </row>
    <row r="34" spans="1:10" ht="24" x14ac:dyDescent="0.25">
      <c r="A34" s="96">
        <v>14040000</v>
      </c>
      <c r="B34" s="97" t="s">
        <v>238</v>
      </c>
      <c r="C34" s="88">
        <f t="shared" si="1"/>
        <v>11435000</v>
      </c>
      <c r="D34" s="89">
        <f>SUM(D35:D36)</f>
        <v>11435000</v>
      </c>
      <c r="E34" s="89">
        <f t="shared" ref="E34:I34" si="14">SUM(E35:E36)</f>
        <v>0</v>
      </c>
      <c r="F34" s="88">
        <f t="shared" si="3"/>
        <v>11435000</v>
      </c>
      <c r="G34" s="89">
        <f t="shared" si="14"/>
        <v>0</v>
      </c>
      <c r="H34" s="89">
        <f t="shared" si="14"/>
        <v>0</v>
      </c>
      <c r="I34" s="89">
        <f t="shared" si="14"/>
        <v>0</v>
      </c>
      <c r="J34" s="88">
        <f t="shared" si="4"/>
        <v>0</v>
      </c>
    </row>
    <row r="35" spans="1:10" ht="60" x14ac:dyDescent="0.25">
      <c r="A35" s="98">
        <v>14040100</v>
      </c>
      <c r="B35" s="91" t="s">
        <v>80</v>
      </c>
      <c r="C35" s="88">
        <f t="shared" si="1"/>
        <v>6235000</v>
      </c>
      <c r="D35" s="92">
        <v>6235000</v>
      </c>
      <c r="E35" s="92"/>
      <c r="F35" s="88">
        <f t="shared" si="3"/>
        <v>6235000</v>
      </c>
      <c r="G35" s="92"/>
      <c r="H35" s="92"/>
      <c r="I35" s="92"/>
      <c r="J35" s="88">
        <f t="shared" si="4"/>
        <v>0</v>
      </c>
    </row>
    <row r="36" spans="1:10" ht="48" x14ac:dyDescent="0.25">
      <c r="A36" s="98">
        <v>14040200</v>
      </c>
      <c r="B36" s="91" t="s">
        <v>81</v>
      </c>
      <c r="C36" s="88">
        <f t="shared" si="1"/>
        <v>5200000</v>
      </c>
      <c r="D36" s="92">
        <v>5200000</v>
      </c>
      <c r="E36" s="92"/>
      <c r="F36" s="88">
        <f t="shared" si="3"/>
        <v>5200000</v>
      </c>
      <c r="G36" s="92"/>
      <c r="H36" s="92"/>
      <c r="I36" s="92"/>
      <c r="J36" s="88">
        <f t="shared" si="4"/>
        <v>0</v>
      </c>
    </row>
    <row r="37" spans="1:10" x14ac:dyDescent="0.25">
      <c r="A37" s="86">
        <v>18000000</v>
      </c>
      <c r="B37" s="87" t="s">
        <v>82</v>
      </c>
      <c r="C37" s="88">
        <f t="shared" si="1"/>
        <v>160960684</v>
      </c>
      <c r="D37" s="89">
        <f>SUM(D38+D46+D49)</f>
        <v>158523000</v>
      </c>
      <c r="E37" s="89">
        <f t="shared" ref="E37:I37" si="15">SUM(E38+E46+E49)</f>
        <v>2437684</v>
      </c>
      <c r="F37" s="88">
        <f t="shared" si="3"/>
        <v>160960684</v>
      </c>
      <c r="G37" s="89">
        <f t="shared" si="15"/>
        <v>0</v>
      </c>
      <c r="H37" s="89">
        <f t="shared" si="15"/>
        <v>0</v>
      </c>
      <c r="I37" s="89">
        <f t="shared" si="15"/>
        <v>0</v>
      </c>
      <c r="J37" s="88">
        <f t="shared" si="4"/>
        <v>0</v>
      </c>
    </row>
    <row r="38" spans="1:10" x14ac:dyDescent="0.25">
      <c r="A38" s="86">
        <v>18010000</v>
      </c>
      <c r="B38" s="87" t="s">
        <v>83</v>
      </c>
      <c r="C38" s="88">
        <f t="shared" si="1"/>
        <v>95997484</v>
      </c>
      <c r="D38" s="89">
        <f>SUM(D39:D45)</f>
        <v>94159800</v>
      </c>
      <c r="E38" s="89">
        <f t="shared" ref="E38:I38" si="16">SUM(E39:E45)</f>
        <v>1837684</v>
      </c>
      <c r="F38" s="88">
        <f t="shared" si="3"/>
        <v>95997484</v>
      </c>
      <c r="G38" s="89">
        <f t="shared" si="16"/>
        <v>0</v>
      </c>
      <c r="H38" s="89">
        <f t="shared" si="16"/>
        <v>0</v>
      </c>
      <c r="I38" s="89">
        <f t="shared" si="16"/>
        <v>0</v>
      </c>
      <c r="J38" s="88">
        <f t="shared" si="4"/>
        <v>0</v>
      </c>
    </row>
    <row r="39" spans="1:10" ht="36" x14ac:dyDescent="0.25">
      <c r="A39" s="90">
        <v>18010200</v>
      </c>
      <c r="B39" s="91" t="s">
        <v>84</v>
      </c>
      <c r="C39" s="88">
        <f t="shared" si="1"/>
        <v>2480000</v>
      </c>
      <c r="D39" s="92">
        <v>2480000</v>
      </c>
      <c r="E39" s="92"/>
      <c r="F39" s="88">
        <f t="shared" si="3"/>
        <v>2480000</v>
      </c>
      <c r="G39" s="92"/>
      <c r="H39" s="92"/>
      <c r="I39" s="92"/>
      <c r="J39" s="88">
        <f t="shared" si="4"/>
        <v>0</v>
      </c>
    </row>
    <row r="40" spans="1:10" ht="36" x14ac:dyDescent="0.25">
      <c r="A40" s="90">
        <v>18010300</v>
      </c>
      <c r="B40" s="91" t="s">
        <v>85</v>
      </c>
      <c r="C40" s="88">
        <f t="shared" si="1"/>
        <v>6500000</v>
      </c>
      <c r="D40" s="92">
        <v>6500000</v>
      </c>
      <c r="E40" s="92"/>
      <c r="F40" s="88">
        <f t="shared" si="3"/>
        <v>6500000</v>
      </c>
      <c r="G40" s="92"/>
      <c r="H40" s="92"/>
      <c r="I40" s="92"/>
      <c r="J40" s="88">
        <f t="shared" si="4"/>
        <v>0</v>
      </c>
    </row>
    <row r="41" spans="1:10" ht="36" x14ac:dyDescent="0.25">
      <c r="A41" s="90">
        <v>18010400</v>
      </c>
      <c r="B41" s="91" t="s">
        <v>86</v>
      </c>
      <c r="C41" s="88">
        <f t="shared" si="1"/>
        <v>6200000</v>
      </c>
      <c r="D41" s="92">
        <v>6200000</v>
      </c>
      <c r="E41" s="92"/>
      <c r="F41" s="88">
        <f t="shared" si="3"/>
        <v>6200000</v>
      </c>
      <c r="G41" s="92"/>
      <c r="H41" s="92"/>
      <c r="I41" s="92"/>
      <c r="J41" s="88">
        <f t="shared" si="4"/>
        <v>0</v>
      </c>
    </row>
    <row r="42" spans="1:10" x14ac:dyDescent="0.25">
      <c r="A42" s="90">
        <v>18010500</v>
      </c>
      <c r="B42" s="91" t="s">
        <v>87</v>
      </c>
      <c r="C42" s="88">
        <f t="shared" si="1"/>
        <v>23487684</v>
      </c>
      <c r="D42" s="92">
        <v>22150000</v>
      </c>
      <c r="E42" s="209">
        <f>2000000-662316</f>
        <v>1337684</v>
      </c>
      <c r="F42" s="88">
        <f t="shared" si="3"/>
        <v>23487684</v>
      </c>
      <c r="G42" s="92"/>
      <c r="H42" s="92"/>
      <c r="I42" s="92"/>
      <c r="J42" s="88">
        <f t="shared" si="4"/>
        <v>0</v>
      </c>
    </row>
    <row r="43" spans="1:10" x14ac:dyDescent="0.25">
      <c r="A43" s="90">
        <v>18010600</v>
      </c>
      <c r="B43" s="91" t="s">
        <v>88</v>
      </c>
      <c r="C43" s="88">
        <f t="shared" si="1"/>
        <v>48949800</v>
      </c>
      <c r="D43" s="92">
        <v>48449800</v>
      </c>
      <c r="E43" s="92">
        <v>500000</v>
      </c>
      <c r="F43" s="88">
        <f t="shared" si="3"/>
        <v>48949800</v>
      </c>
      <c r="G43" s="92"/>
      <c r="H43" s="92"/>
      <c r="I43" s="92"/>
      <c r="J43" s="88">
        <f t="shared" si="4"/>
        <v>0</v>
      </c>
    </row>
    <row r="44" spans="1:10" x14ac:dyDescent="0.25">
      <c r="A44" s="90">
        <v>18010700</v>
      </c>
      <c r="B44" s="91" t="s">
        <v>89</v>
      </c>
      <c r="C44" s="88">
        <f t="shared" si="1"/>
        <v>1900000</v>
      </c>
      <c r="D44" s="92">
        <v>1900000</v>
      </c>
      <c r="E44" s="92"/>
      <c r="F44" s="88">
        <f t="shared" si="3"/>
        <v>1900000</v>
      </c>
      <c r="G44" s="92"/>
      <c r="H44" s="92"/>
      <c r="I44" s="92"/>
      <c r="J44" s="88">
        <f t="shared" si="4"/>
        <v>0</v>
      </c>
    </row>
    <row r="45" spans="1:10" x14ac:dyDescent="0.25">
      <c r="A45" s="90">
        <v>18010900</v>
      </c>
      <c r="B45" s="91" t="s">
        <v>90</v>
      </c>
      <c r="C45" s="88">
        <f t="shared" si="1"/>
        <v>6480000</v>
      </c>
      <c r="D45" s="92">
        <v>6480000</v>
      </c>
      <c r="E45" s="92"/>
      <c r="F45" s="88">
        <f t="shared" si="3"/>
        <v>6480000</v>
      </c>
      <c r="G45" s="92"/>
      <c r="H45" s="92"/>
      <c r="I45" s="92"/>
      <c r="J45" s="88">
        <f t="shared" si="4"/>
        <v>0</v>
      </c>
    </row>
    <row r="46" spans="1:10" x14ac:dyDescent="0.25">
      <c r="A46" s="212">
        <v>18030000</v>
      </c>
      <c r="B46" s="99" t="s">
        <v>91</v>
      </c>
      <c r="C46" s="88">
        <f t="shared" si="1"/>
        <v>47200</v>
      </c>
      <c r="D46" s="88">
        <f>SUM(D47:D48)</f>
        <v>47200</v>
      </c>
      <c r="E46" s="88">
        <f t="shared" ref="E46:I46" si="17">SUM(E47:E48)</f>
        <v>0</v>
      </c>
      <c r="F46" s="88">
        <f t="shared" si="3"/>
        <v>47200</v>
      </c>
      <c r="G46" s="88">
        <f t="shared" si="17"/>
        <v>0</v>
      </c>
      <c r="H46" s="88">
        <f t="shared" si="17"/>
        <v>0</v>
      </c>
      <c r="I46" s="88">
        <f t="shared" si="17"/>
        <v>0</v>
      </c>
      <c r="J46" s="88">
        <f t="shared" si="4"/>
        <v>0</v>
      </c>
    </row>
    <row r="47" spans="1:10" x14ac:dyDescent="0.25">
      <c r="A47" s="85">
        <v>18030100</v>
      </c>
      <c r="B47" s="100" t="s">
        <v>92</v>
      </c>
      <c r="C47" s="88">
        <f t="shared" si="1"/>
        <v>7200</v>
      </c>
      <c r="D47" s="101">
        <v>7200</v>
      </c>
      <c r="E47" s="101"/>
      <c r="F47" s="88">
        <f t="shared" si="3"/>
        <v>7200</v>
      </c>
      <c r="G47" s="101"/>
      <c r="H47" s="101"/>
      <c r="I47" s="101"/>
      <c r="J47" s="88">
        <f t="shared" si="4"/>
        <v>0</v>
      </c>
    </row>
    <row r="48" spans="1:10" x14ac:dyDescent="0.25">
      <c r="A48" s="85">
        <v>18030200</v>
      </c>
      <c r="B48" s="100" t="s">
        <v>93</v>
      </c>
      <c r="C48" s="88">
        <f t="shared" si="1"/>
        <v>40000</v>
      </c>
      <c r="D48" s="101">
        <v>40000</v>
      </c>
      <c r="E48" s="101"/>
      <c r="F48" s="88">
        <f t="shared" si="3"/>
        <v>40000</v>
      </c>
      <c r="G48" s="101"/>
      <c r="H48" s="101"/>
      <c r="I48" s="101"/>
      <c r="J48" s="88">
        <f t="shared" si="4"/>
        <v>0</v>
      </c>
    </row>
    <row r="49" spans="1:10" x14ac:dyDescent="0.25">
      <c r="A49" s="212">
        <v>18050000</v>
      </c>
      <c r="B49" s="99" t="s">
        <v>94</v>
      </c>
      <c r="C49" s="88">
        <f t="shared" si="1"/>
        <v>64916000</v>
      </c>
      <c r="D49" s="88">
        <f>SUM(D50:D52)</f>
        <v>64316000</v>
      </c>
      <c r="E49" s="88">
        <f t="shared" ref="E49:I49" si="18">SUM(E50:E52)</f>
        <v>600000</v>
      </c>
      <c r="F49" s="88">
        <f t="shared" si="3"/>
        <v>64916000</v>
      </c>
      <c r="G49" s="88">
        <f t="shared" si="18"/>
        <v>0</v>
      </c>
      <c r="H49" s="88">
        <f t="shared" si="18"/>
        <v>0</v>
      </c>
      <c r="I49" s="88">
        <f t="shared" si="18"/>
        <v>0</v>
      </c>
      <c r="J49" s="88">
        <f t="shared" si="4"/>
        <v>0</v>
      </c>
    </row>
    <row r="50" spans="1:10" x14ac:dyDescent="0.25">
      <c r="A50" s="85">
        <v>18050300</v>
      </c>
      <c r="B50" s="100" t="s">
        <v>95</v>
      </c>
      <c r="C50" s="88">
        <f t="shared" si="1"/>
        <v>5950000</v>
      </c>
      <c r="D50" s="101">
        <v>5950000</v>
      </c>
      <c r="E50" s="101"/>
      <c r="F50" s="88">
        <f t="shared" si="3"/>
        <v>5950000</v>
      </c>
      <c r="G50" s="101"/>
      <c r="H50" s="101"/>
      <c r="I50" s="101"/>
      <c r="J50" s="88">
        <f t="shared" si="4"/>
        <v>0</v>
      </c>
    </row>
    <row r="51" spans="1:10" x14ac:dyDescent="0.25">
      <c r="A51" s="85">
        <v>18050400</v>
      </c>
      <c r="B51" s="100" t="s">
        <v>96</v>
      </c>
      <c r="C51" s="88">
        <f t="shared" si="1"/>
        <v>58700000</v>
      </c>
      <c r="D51" s="101">
        <v>58100000</v>
      </c>
      <c r="E51" s="101">
        <v>600000</v>
      </c>
      <c r="F51" s="88">
        <f t="shared" si="3"/>
        <v>58700000</v>
      </c>
      <c r="G51" s="101"/>
      <c r="H51" s="101"/>
      <c r="I51" s="101"/>
      <c r="J51" s="88">
        <f t="shared" si="4"/>
        <v>0</v>
      </c>
    </row>
    <row r="52" spans="1:10" ht="48" x14ac:dyDescent="0.25">
      <c r="A52" s="85">
        <v>18050500</v>
      </c>
      <c r="B52" s="100" t="s">
        <v>97</v>
      </c>
      <c r="C52" s="88">
        <f t="shared" si="1"/>
        <v>266000</v>
      </c>
      <c r="D52" s="101">
        <v>266000</v>
      </c>
      <c r="E52" s="101"/>
      <c r="F52" s="88">
        <f t="shared" si="3"/>
        <v>266000</v>
      </c>
      <c r="G52" s="101"/>
      <c r="H52" s="101"/>
      <c r="I52" s="101"/>
      <c r="J52" s="88">
        <f t="shared" si="4"/>
        <v>0</v>
      </c>
    </row>
    <row r="53" spans="1:10" x14ac:dyDescent="0.25">
      <c r="A53" s="212">
        <v>19000000</v>
      </c>
      <c r="B53" s="99" t="s">
        <v>98</v>
      </c>
      <c r="C53" s="88">
        <f t="shared" si="1"/>
        <v>665300</v>
      </c>
      <c r="D53" s="88">
        <f t="shared" ref="D53:E53" si="19">SUM(D54)</f>
        <v>0</v>
      </c>
      <c r="E53" s="88">
        <f t="shared" si="19"/>
        <v>0</v>
      </c>
      <c r="F53" s="88">
        <f t="shared" si="3"/>
        <v>0</v>
      </c>
      <c r="G53" s="88">
        <f>SUM(G54)</f>
        <v>665300</v>
      </c>
      <c r="H53" s="88">
        <f t="shared" ref="H53:I53" si="20">SUM(H54)</f>
        <v>0</v>
      </c>
      <c r="I53" s="88">
        <f t="shared" si="20"/>
        <v>0</v>
      </c>
      <c r="J53" s="88">
        <f t="shared" si="4"/>
        <v>665300</v>
      </c>
    </row>
    <row r="54" spans="1:10" x14ac:dyDescent="0.25">
      <c r="A54" s="85">
        <v>19010000</v>
      </c>
      <c r="B54" s="100" t="s">
        <v>99</v>
      </c>
      <c r="C54" s="88">
        <f t="shared" si="1"/>
        <v>665300</v>
      </c>
      <c r="D54" s="88">
        <f t="shared" ref="D54:E54" si="21">SUM(D55:D57)</f>
        <v>0</v>
      </c>
      <c r="E54" s="88">
        <f t="shared" si="21"/>
        <v>0</v>
      </c>
      <c r="F54" s="88">
        <f t="shared" si="3"/>
        <v>0</v>
      </c>
      <c r="G54" s="88">
        <f>SUM(G55:G57)</f>
        <v>665300</v>
      </c>
      <c r="H54" s="88">
        <f t="shared" ref="H54:I54" si="22">SUM(H55:H57)</f>
        <v>0</v>
      </c>
      <c r="I54" s="88">
        <f t="shared" si="22"/>
        <v>0</v>
      </c>
      <c r="J54" s="88">
        <f t="shared" si="4"/>
        <v>665300</v>
      </c>
    </row>
    <row r="55" spans="1:10" ht="48" x14ac:dyDescent="0.25">
      <c r="A55" s="85">
        <v>19010100</v>
      </c>
      <c r="B55" s="100" t="s">
        <v>100</v>
      </c>
      <c r="C55" s="88">
        <f t="shared" si="1"/>
        <v>515000</v>
      </c>
      <c r="D55" s="101">
        <v>0</v>
      </c>
      <c r="E55" s="101"/>
      <c r="F55" s="88">
        <f t="shared" si="3"/>
        <v>0</v>
      </c>
      <c r="G55" s="101">
        <v>515000</v>
      </c>
      <c r="H55" s="101"/>
      <c r="I55" s="101"/>
      <c r="J55" s="88">
        <f t="shared" si="4"/>
        <v>515000</v>
      </c>
    </row>
    <row r="56" spans="1:10" ht="24" x14ac:dyDescent="0.25">
      <c r="A56" s="85">
        <v>19010200</v>
      </c>
      <c r="B56" s="100" t="s">
        <v>101</v>
      </c>
      <c r="C56" s="88">
        <f t="shared" si="1"/>
        <v>50300</v>
      </c>
      <c r="D56" s="101">
        <v>0</v>
      </c>
      <c r="E56" s="101"/>
      <c r="F56" s="88">
        <f t="shared" si="3"/>
        <v>0</v>
      </c>
      <c r="G56" s="101">
        <v>50300</v>
      </c>
      <c r="H56" s="101"/>
      <c r="I56" s="101"/>
      <c r="J56" s="88">
        <f t="shared" si="4"/>
        <v>50300</v>
      </c>
    </row>
    <row r="57" spans="1:10" ht="36" x14ac:dyDescent="0.25">
      <c r="A57" s="85">
        <v>19010300</v>
      </c>
      <c r="B57" s="100" t="s">
        <v>102</v>
      </c>
      <c r="C57" s="88">
        <f t="shared" si="1"/>
        <v>100000</v>
      </c>
      <c r="D57" s="101">
        <v>0</v>
      </c>
      <c r="E57" s="101"/>
      <c r="F57" s="88">
        <f t="shared" si="3"/>
        <v>0</v>
      </c>
      <c r="G57" s="101">
        <v>100000</v>
      </c>
      <c r="H57" s="101"/>
      <c r="I57" s="101"/>
      <c r="J57" s="88">
        <f t="shared" si="4"/>
        <v>100000</v>
      </c>
    </row>
    <row r="58" spans="1:10" x14ac:dyDescent="0.25">
      <c r="A58" s="212">
        <v>20000000</v>
      </c>
      <c r="B58" s="99" t="s">
        <v>103</v>
      </c>
      <c r="C58" s="88">
        <f t="shared" si="1"/>
        <v>35076040</v>
      </c>
      <c r="D58" s="88">
        <f>SUM(D59+D66+D78+D83)</f>
        <v>26493400</v>
      </c>
      <c r="E58" s="88">
        <f>SUM(E59+E66+E78+E83)</f>
        <v>0</v>
      </c>
      <c r="F58" s="88">
        <f t="shared" si="3"/>
        <v>26493400</v>
      </c>
      <c r="G58" s="88">
        <f>SUM(G59+G66+G78+G83)</f>
        <v>8582640</v>
      </c>
      <c r="H58" s="88">
        <f>SUM(H59+H66+H78+H83)</f>
        <v>0</v>
      </c>
      <c r="I58" s="88">
        <f>SUM(I59+I66+I78+I83)</f>
        <v>0</v>
      </c>
      <c r="J58" s="88">
        <f t="shared" si="4"/>
        <v>8582640</v>
      </c>
    </row>
    <row r="59" spans="1:10" x14ac:dyDescent="0.25">
      <c r="A59" s="212">
        <v>21000000</v>
      </c>
      <c r="B59" s="99" t="s">
        <v>104</v>
      </c>
      <c r="C59" s="88">
        <f t="shared" si="1"/>
        <v>1147000</v>
      </c>
      <c r="D59" s="88">
        <f>SUM(D60+D62)</f>
        <v>1147000</v>
      </c>
      <c r="E59" s="88">
        <f t="shared" ref="E59:I59" si="23">SUM(E60+E62)</f>
        <v>0</v>
      </c>
      <c r="F59" s="88">
        <f t="shared" si="3"/>
        <v>1147000</v>
      </c>
      <c r="G59" s="88">
        <f t="shared" si="23"/>
        <v>0</v>
      </c>
      <c r="H59" s="88">
        <f t="shared" si="23"/>
        <v>0</v>
      </c>
      <c r="I59" s="88">
        <f t="shared" si="23"/>
        <v>0</v>
      </c>
      <c r="J59" s="88">
        <f t="shared" si="4"/>
        <v>0</v>
      </c>
    </row>
    <row r="60" spans="1:10" ht="72" x14ac:dyDescent="0.25">
      <c r="A60" s="167">
        <v>21010000</v>
      </c>
      <c r="B60" s="168" t="s">
        <v>105</v>
      </c>
      <c r="C60" s="169">
        <f t="shared" si="1"/>
        <v>120000</v>
      </c>
      <c r="D60" s="169">
        <f>SUM(D61)</f>
        <v>120000</v>
      </c>
      <c r="E60" s="169">
        <f t="shared" ref="E60:I60" si="24">SUM(E61)</f>
        <v>0</v>
      </c>
      <c r="F60" s="169">
        <f t="shared" si="3"/>
        <v>120000</v>
      </c>
      <c r="G60" s="88">
        <f t="shared" si="24"/>
        <v>0</v>
      </c>
      <c r="H60" s="88">
        <f t="shared" si="24"/>
        <v>0</v>
      </c>
      <c r="I60" s="88">
        <f t="shared" si="24"/>
        <v>0</v>
      </c>
      <c r="J60" s="88">
        <f t="shared" si="4"/>
        <v>0</v>
      </c>
    </row>
    <row r="61" spans="1:10" ht="36" x14ac:dyDescent="0.25">
      <c r="A61" s="170">
        <v>21010300</v>
      </c>
      <c r="B61" s="171" t="s">
        <v>106</v>
      </c>
      <c r="C61" s="169">
        <f t="shared" si="1"/>
        <v>120000</v>
      </c>
      <c r="D61" s="172">
        <v>120000</v>
      </c>
      <c r="E61" s="172"/>
      <c r="F61" s="169">
        <f t="shared" si="3"/>
        <v>120000</v>
      </c>
      <c r="G61" s="101"/>
      <c r="H61" s="101"/>
      <c r="I61" s="101"/>
      <c r="J61" s="88">
        <f t="shared" si="4"/>
        <v>0</v>
      </c>
    </row>
    <row r="62" spans="1:10" x14ac:dyDescent="0.25">
      <c r="A62" s="167">
        <v>21080000</v>
      </c>
      <c r="B62" s="168" t="s">
        <v>107</v>
      </c>
      <c r="C62" s="169">
        <f t="shared" si="1"/>
        <v>1027000</v>
      </c>
      <c r="D62" s="169">
        <f>SUM(D63:D65)</f>
        <v>1027000</v>
      </c>
      <c r="E62" s="169">
        <f>SUM(E63:E65)</f>
        <v>0</v>
      </c>
      <c r="F62" s="169">
        <f t="shared" si="3"/>
        <v>1027000</v>
      </c>
      <c r="G62" s="88">
        <f>SUM(G63:G65)</f>
        <v>0</v>
      </c>
      <c r="H62" s="88">
        <f>SUM(H63:H65)</f>
        <v>0</v>
      </c>
      <c r="I62" s="88">
        <f>SUM(I63:I65)</f>
        <v>0</v>
      </c>
      <c r="J62" s="88">
        <f t="shared" si="4"/>
        <v>0</v>
      </c>
    </row>
    <row r="63" spans="1:10" x14ac:dyDescent="0.25">
      <c r="A63" s="170">
        <v>21081100</v>
      </c>
      <c r="B63" s="171" t="s">
        <v>108</v>
      </c>
      <c r="C63" s="169">
        <f t="shared" si="1"/>
        <v>370000</v>
      </c>
      <c r="D63" s="172">
        <v>370000</v>
      </c>
      <c r="E63" s="172"/>
      <c r="F63" s="169">
        <f t="shared" si="3"/>
        <v>370000</v>
      </c>
      <c r="G63" s="101"/>
      <c r="H63" s="101"/>
      <c r="I63" s="101"/>
      <c r="J63" s="88">
        <f t="shared" si="4"/>
        <v>0</v>
      </c>
    </row>
    <row r="64" spans="1:10" ht="60" x14ac:dyDescent="0.25">
      <c r="A64" s="232">
        <v>21081500</v>
      </c>
      <c r="B64" s="171" t="s">
        <v>370</v>
      </c>
      <c r="C64" s="228">
        <f t="shared" si="1"/>
        <v>570000</v>
      </c>
      <c r="D64" s="229">
        <v>570000</v>
      </c>
      <c r="E64" s="229"/>
      <c r="F64" s="228">
        <f t="shared" si="3"/>
        <v>570000</v>
      </c>
      <c r="G64" s="230"/>
      <c r="H64" s="230"/>
      <c r="I64" s="230"/>
      <c r="J64" s="88">
        <f t="shared" si="4"/>
        <v>0</v>
      </c>
    </row>
    <row r="65" spans="1:10" ht="36" x14ac:dyDescent="0.25">
      <c r="A65" s="173">
        <v>21081800</v>
      </c>
      <c r="B65" s="171" t="s">
        <v>109</v>
      </c>
      <c r="C65" s="169">
        <f t="shared" si="1"/>
        <v>87000</v>
      </c>
      <c r="D65" s="172">
        <v>87000</v>
      </c>
      <c r="E65" s="172"/>
      <c r="F65" s="169">
        <f t="shared" si="3"/>
        <v>87000</v>
      </c>
      <c r="G65" s="101"/>
      <c r="H65" s="101"/>
      <c r="I65" s="101"/>
      <c r="J65" s="88">
        <f t="shared" si="4"/>
        <v>0</v>
      </c>
    </row>
    <row r="66" spans="1:10" ht="24" x14ac:dyDescent="0.25">
      <c r="A66" s="167">
        <v>22000000</v>
      </c>
      <c r="B66" s="168" t="s">
        <v>110</v>
      </c>
      <c r="C66" s="169">
        <f t="shared" si="1"/>
        <v>5138400</v>
      </c>
      <c r="D66" s="169">
        <f>SUM(D67+D72+D74+D77)</f>
        <v>5138400</v>
      </c>
      <c r="E66" s="169">
        <f>SUM(E67+E72+E74+E77)</f>
        <v>0</v>
      </c>
      <c r="F66" s="169">
        <f>SUM(D66:E66)</f>
        <v>5138400</v>
      </c>
      <c r="G66" s="88">
        <f>SUM(G67+G72+G74+G77)</f>
        <v>0</v>
      </c>
      <c r="H66" s="88">
        <f>SUM(H67+H72+H74+H77)</f>
        <v>0</v>
      </c>
      <c r="I66" s="88">
        <f>SUM(I67+I72+I74+I77)</f>
        <v>0</v>
      </c>
      <c r="J66" s="88">
        <f t="shared" si="4"/>
        <v>0</v>
      </c>
    </row>
    <row r="67" spans="1:10" x14ac:dyDescent="0.25">
      <c r="A67" s="167">
        <v>22010000</v>
      </c>
      <c r="B67" s="168" t="s">
        <v>111</v>
      </c>
      <c r="C67" s="169">
        <f>SUM(F67+J67)</f>
        <v>2904800</v>
      </c>
      <c r="D67" s="169">
        <f>SUM(D68:D71)</f>
        <v>2904800</v>
      </c>
      <c r="E67" s="169">
        <f>SUM(E68:E71)</f>
        <v>0</v>
      </c>
      <c r="F67" s="169">
        <f>SUM(D67:E67)</f>
        <v>2904800</v>
      </c>
      <c r="G67" s="169">
        <f>SUM(G68:G71)</f>
        <v>0</v>
      </c>
      <c r="H67" s="169">
        <f>SUM(H68:H71)</f>
        <v>0</v>
      </c>
      <c r="I67" s="169">
        <f>SUM(I68:I71)</f>
        <v>0</v>
      </c>
      <c r="J67" s="88">
        <f t="shared" si="4"/>
        <v>0</v>
      </c>
    </row>
    <row r="68" spans="1:10" ht="36" x14ac:dyDescent="0.25">
      <c r="A68" s="232">
        <v>22010300</v>
      </c>
      <c r="B68" s="171" t="s">
        <v>371</v>
      </c>
      <c r="C68" s="228">
        <f t="shared" ref="C68" si="25">SUM(F68+J68)</f>
        <v>63800</v>
      </c>
      <c r="D68" s="229">
        <v>63800</v>
      </c>
      <c r="E68" s="229"/>
      <c r="F68" s="228">
        <f t="shared" ref="F68" si="26">SUM(D68:E68)</f>
        <v>63800</v>
      </c>
      <c r="G68" s="230"/>
      <c r="H68" s="230"/>
      <c r="I68" s="230"/>
      <c r="J68" s="88">
        <f t="shared" si="4"/>
        <v>0</v>
      </c>
    </row>
    <row r="69" spans="1:10" x14ac:dyDescent="0.25">
      <c r="A69" s="170">
        <v>22012500</v>
      </c>
      <c r="B69" s="171" t="s">
        <v>112</v>
      </c>
      <c r="C69" s="169">
        <f t="shared" si="1"/>
        <v>2400000</v>
      </c>
      <c r="D69" s="172">
        <v>2400000</v>
      </c>
      <c r="E69" s="172"/>
      <c r="F69" s="169">
        <f t="shared" si="3"/>
        <v>2400000</v>
      </c>
      <c r="G69" s="101"/>
      <c r="H69" s="101"/>
      <c r="I69" s="101"/>
      <c r="J69" s="88">
        <f t="shared" si="4"/>
        <v>0</v>
      </c>
    </row>
    <row r="70" spans="1:10" ht="24" x14ac:dyDescent="0.25">
      <c r="A70" s="170">
        <v>22012600</v>
      </c>
      <c r="B70" s="171" t="s">
        <v>113</v>
      </c>
      <c r="C70" s="169">
        <f t="shared" si="1"/>
        <v>440000</v>
      </c>
      <c r="D70" s="172">
        <v>440000</v>
      </c>
      <c r="E70" s="172"/>
      <c r="F70" s="169">
        <f t="shared" si="3"/>
        <v>440000</v>
      </c>
      <c r="G70" s="101"/>
      <c r="H70" s="101"/>
      <c r="I70" s="101"/>
      <c r="J70" s="88">
        <f t="shared" si="4"/>
        <v>0</v>
      </c>
    </row>
    <row r="71" spans="1:10" ht="72" x14ac:dyDescent="0.25">
      <c r="A71" s="232">
        <v>22012900</v>
      </c>
      <c r="B71" s="171" t="s">
        <v>372</v>
      </c>
      <c r="C71" s="228">
        <f t="shared" ref="C71" si="27">SUM(F71+J71)</f>
        <v>1000</v>
      </c>
      <c r="D71" s="229">
        <v>1000</v>
      </c>
      <c r="E71" s="229"/>
      <c r="F71" s="228">
        <f t="shared" ref="F71" si="28">SUM(D71:E71)</f>
        <v>1000</v>
      </c>
      <c r="G71" s="230"/>
      <c r="H71" s="230"/>
      <c r="I71" s="230"/>
      <c r="J71" s="88">
        <f t="shared" si="4"/>
        <v>0</v>
      </c>
    </row>
    <row r="72" spans="1:10" ht="24" x14ac:dyDescent="0.25">
      <c r="A72" s="233">
        <v>22080000</v>
      </c>
      <c r="B72" s="174" t="s">
        <v>373</v>
      </c>
      <c r="C72" s="228">
        <f t="shared" si="1"/>
        <v>2200000</v>
      </c>
      <c r="D72" s="228">
        <f>SUM(D73)</f>
        <v>2200000</v>
      </c>
      <c r="E72" s="228">
        <f t="shared" ref="E72:I72" si="29">SUM(E73)</f>
        <v>0</v>
      </c>
      <c r="F72" s="228">
        <f t="shared" si="3"/>
        <v>2200000</v>
      </c>
      <c r="G72" s="231">
        <f t="shared" si="29"/>
        <v>0</v>
      </c>
      <c r="H72" s="231">
        <f t="shared" si="29"/>
        <v>0</v>
      </c>
      <c r="I72" s="231">
        <f t="shared" si="29"/>
        <v>0</v>
      </c>
      <c r="J72" s="88">
        <f t="shared" si="4"/>
        <v>0</v>
      </c>
    </row>
    <row r="73" spans="1:10" ht="36" x14ac:dyDescent="0.25">
      <c r="A73" s="175">
        <v>22080400</v>
      </c>
      <c r="B73" s="176" t="s">
        <v>239</v>
      </c>
      <c r="C73" s="169">
        <f t="shared" si="1"/>
        <v>2200000</v>
      </c>
      <c r="D73" s="172">
        <v>2200000</v>
      </c>
      <c r="E73" s="172"/>
      <c r="F73" s="169">
        <f t="shared" si="3"/>
        <v>2200000</v>
      </c>
      <c r="G73" s="101"/>
      <c r="H73" s="101"/>
      <c r="I73" s="101"/>
      <c r="J73" s="88">
        <f t="shared" si="4"/>
        <v>0</v>
      </c>
    </row>
    <row r="74" spans="1:10" x14ac:dyDescent="0.25">
      <c r="A74" s="177">
        <v>22090000</v>
      </c>
      <c r="B74" s="178" t="s">
        <v>114</v>
      </c>
      <c r="C74" s="169">
        <f t="shared" ref="C74:C108" si="30">SUM(F74+J74)</f>
        <v>29500</v>
      </c>
      <c r="D74" s="179">
        <f>SUM(D75:D76)</f>
        <v>29500</v>
      </c>
      <c r="E74" s="179">
        <f t="shared" ref="E74:I74" si="31">SUM(E75:E76)</f>
        <v>0</v>
      </c>
      <c r="F74" s="169">
        <f t="shared" ref="F74:F108" si="32">SUM(D74:E74)</f>
        <v>29500</v>
      </c>
      <c r="G74" s="89">
        <f t="shared" si="31"/>
        <v>0</v>
      </c>
      <c r="H74" s="89">
        <f t="shared" si="31"/>
        <v>0</v>
      </c>
      <c r="I74" s="89">
        <f t="shared" si="31"/>
        <v>0</v>
      </c>
      <c r="J74" s="88">
        <f t="shared" ref="J74:J112" si="33">SUM(G74:H74)</f>
        <v>0</v>
      </c>
    </row>
    <row r="75" spans="1:10" ht="36" x14ac:dyDescent="0.25">
      <c r="A75" s="180">
        <v>22090100</v>
      </c>
      <c r="B75" s="181" t="s">
        <v>115</v>
      </c>
      <c r="C75" s="169">
        <f t="shared" si="30"/>
        <v>20000</v>
      </c>
      <c r="D75" s="182">
        <v>20000</v>
      </c>
      <c r="E75" s="182"/>
      <c r="F75" s="169">
        <f t="shared" si="32"/>
        <v>20000</v>
      </c>
      <c r="G75" s="92"/>
      <c r="H75" s="92"/>
      <c r="I75" s="92"/>
      <c r="J75" s="88">
        <f t="shared" si="33"/>
        <v>0</v>
      </c>
    </row>
    <row r="76" spans="1:10" ht="24" x14ac:dyDescent="0.25">
      <c r="A76" s="180">
        <v>22090400</v>
      </c>
      <c r="B76" s="181" t="s">
        <v>116</v>
      </c>
      <c r="C76" s="169">
        <f t="shared" si="30"/>
        <v>9500</v>
      </c>
      <c r="D76" s="182">
        <v>9500</v>
      </c>
      <c r="E76" s="182"/>
      <c r="F76" s="169">
        <f t="shared" si="32"/>
        <v>9500</v>
      </c>
      <c r="G76" s="92"/>
      <c r="H76" s="92"/>
      <c r="I76" s="92"/>
      <c r="J76" s="88">
        <f t="shared" si="33"/>
        <v>0</v>
      </c>
    </row>
    <row r="77" spans="1:10" ht="48" x14ac:dyDescent="0.25">
      <c r="A77" s="180">
        <v>22130000</v>
      </c>
      <c r="B77" s="181" t="s">
        <v>117</v>
      </c>
      <c r="C77" s="169">
        <f t="shared" si="30"/>
        <v>4100</v>
      </c>
      <c r="D77" s="182">
        <v>4100</v>
      </c>
      <c r="E77" s="182"/>
      <c r="F77" s="169">
        <f t="shared" si="32"/>
        <v>4100</v>
      </c>
      <c r="G77" s="92"/>
      <c r="H77" s="92"/>
      <c r="I77" s="92"/>
      <c r="J77" s="88">
        <f t="shared" si="33"/>
        <v>0</v>
      </c>
    </row>
    <row r="78" spans="1:10" x14ac:dyDescent="0.25">
      <c r="A78" s="177">
        <v>24000000</v>
      </c>
      <c r="B78" s="178" t="s">
        <v>118</v>
      </c>
      <c r="C78" s="169">
        <f t="shared" si="30"/>
        <v>20248000</v>
      </c>
      <c r="D78" s="179">
        <f>SUM(D79)</f>
        <v>20208000</v>
      </c>
      <c r="E78" s="179">
        <f t="shared" ref="E78:I78" si="34">SUM(E79)</f>
        <v>0</v>
      </c>
      <c r="F78" s="169">
        <f t="shared" si="32"/>
        <v>20208000</v>
      </c>
      <c r="G78" s="89">
        <f t="shared" si="34"/>
        <v>40000</v>
      </c>
      <c r="H78" s="89">
        <f t="shared" si="34"/>
        <v>0</v>
      </c>
      <c r="I78" s="89">
        <f t="shared" si="34"/>
        <v>0</v>
      </c>
      <c r="J78" s="88">
        <f t="shared" si="33"/>
        <v>40000</v>
      </c>
    </row>
    <row r="79" spans="1:10" x14ac:dyDescent="0.25">
      <c r="A79" s="177">
        <v>24060000</v>
      </c>
      <c r="B79" s="178" t="s">
        <v>107</v>
      </c>
      <c r="C79" s="169">
        <f t="shared" si="30"/>
        <v>20248000</v>
      </c>
      <c r="D79" s="179">
        <f>SUM(D80:D82)</f>
        <v>20208000</v>
      </c>
      <c r="E79" s="179">
        <f t="shared" ref="E79:I79" si="35">SUM(E80:E82)</f>
        <v>0</v>
      </c>
      <c r="F79" s="169">
        <f t="shared" si="32"/>
        <v>20208000</v>
      </c>
      <c r="G79" s="89">
        <f t="shared" si="35"/>
        <v>40000</v>
      </c>
      <c r="H79" s="89">
        <f t="shared" si="35"/>
        <v>0</v>
      </c>
      <c r="I79" s="89">
        <f t="shared" si="35"/>
        <v>0</v>
      </c>
      <c r="J79" s="88">
        <f t="shared" si="33"/>
        <v>40000</v>
      </c>
    </row>
    <row r="80" spans="1:10" x14ac:dyDescent="0.25">
      <c r="A80" s="180">
        <v>24060300</v>
      </c>
      <c r="B80" s="181" t="s">
        <v>107</v>
      </c>
      <c r="C80" s="169">
        <f t="shared" si="30"/>
        <v>305000</v>
      </c>
      <c r="D80" s="182">
        <v>305000</v>
      </c>
      <c r="E80" s="182"/>
      <c r="F80" s="169">
        <f t="shared" si="32"/>
        <v>305000</v>
      </c>
      <c r="G80" s="92"/>
      <c r="H80" s="92"/>
      <c r="I80" s="92"/>
      <c r="J80" s="88">
        <f t="shared" si="33"/>
        <v>0</v>
      </c>
    </row>
    <row r="81" spans="1:10" ht="36" x14ac:dyDescent="0.25">
      <c r="A81" s="180">
        <v>24062100</v>
      </c>
      <c r="B81" s="181" t="s">
        <v>119</v>
      </c>
      <c r="C81" s="169">
        <f t="shared" si="30"/>
        <v>40000</v>
      </c>
      <c r="D81" s="182">
        <v>0</v>
      </c>
      <c r="E81" s="182"/>
      <c r="F81" s="169">
        <f t="shared" si="32"/>
        <v>0</v>
      </c>
      <c r="G81" s="92">
        <v>40000</v>
      </c>
      <c r="H81" s="92"/>
      <c r="I81" s="92"/>
      <c r="J81" s="88">
        <f t="shared" si="33"/>
        <v>40000</v>
      </c>
    </row>
    <row r="82" spans="1:10" ht="48" x14ac:dyDescent="0.25">
      <c r="A82" s="180">
        <v>24062200</v>
      </c>
      <c r="B82" s="181" t="s">
        <v>120</v>
      </c>
      <c r="C82" s="169">
        <f t="shared" si="30"/>
        <v>19903000</v>
      </c>
      <c r="D82" s="182">
        <v>19903000</v>
      </c>
      <c r="E82" s="182"/>
      <c r="F82" s="169">
        <f t="shared" si="32"/>
        <v>19903000</v>
      </c>
      <c r="G82" s="92"/>
      <c r="H82" s="92"/>
      <c r="I82" s="92"/>
      <c r="J82" s="88">
        <f t="shared" si="33"/>
        <v>0</v>
      </c>
    </row>
    <row r="83" spans="1:10" x14ac:dyDescent="0.25">
      <c r="A83" s="167">
        <v>25000000</v>
      </c>
      <c r="B83" s="168" t="s">
        <v>121</v>
      </c>
      <c r="C83" s="169">
        <f t="shared" si="30"/>
        <v>8542640</v>
      </c>
      <c r="D83" s="169">
        <f>SUM(D84)</f>
        <v>0</v>
      </c>
      <c r="E83" s="169">
        <f t="shared" ref="E83:I84" si="36">SUM(E84)</f>
        <v>0</v>
      </c>
      <c r="F83" s="169">
        <f t="shared" si="32"/>
        <v>0</v>
      </c>
      <c r="G83" s="88">
        <f t="shared" si="36"/>
        <v>8542640</v>
      </c>
      <c r="H83" s="88">
        <f t="shared" si="36"/>
        <v>0</v>
      </c>
      <c r="I83" s="88">
        <f t="shared" si="36"/>
        <v>0</v>
      </c>
      <c r="J83" s="88">
        <f t="shared" si="33"/>
        <v>8542640</v>
      </c>
    </row>
    <row r="84" spans="1:10" ht="24" x14ac:dyDescent="0.25">
      <c r="A84" s="167">
        <v>25010000</v>
      </c>
      <c r="B84" s="168" t="s">
        <v>122</v>
      </c>
      <c r="C84" s="169">
        <f t="shared" si="30"/>
        <v>8542640</v>
      </c>
      <c r="D84" s="169">
        <f>SUM(D85)</f>
        <v>0</v>
      </c>
      <c r="E84" s="169">
        <f t="shared" si="36"/>
        <v>0</v>
      </c>
      <c r="F84" s="169">
        <f t="shared" si="32"/>
        <v>0</v>
      </c>
      <c r="G84" s="88">
        <f t="shared" si="36"/>
        <v>8542640</v>
      </c>
      <c r="H84" s="88">
        <f t="shared" si="36"/>
        <v>0</v>
      </c>
      <c r="I84" s="88">
        <f t="shared" si="36"/>
        <v>0</v>
      </c>
      <c r="J84" s="88">
        <f t="shared" si="33"/>
        <v>8542640</v>
      </c>
    </row>
    <row r="85" spans="1:10" ht="24" x14ac:dyDescent="0.25">
      <c r="A85" s="171">
        <v>25010100</v>
      </c>
      <c r="B85" s="171" t="s">
        <v>123</v>
      </c>
      <c r="C85" s="169">
        <f t="shared" si="30"/>
        <v>8542640</v>
      </c>
      <c r="D85" s="172">
        <v>0</v>
      </c>
      <c r="E85" s="172"/>
      <c r="F85" s="169">
        <f t="shared" si="32"/>
        <v>0</v>
      </c>
      <c r="G85" s="101">
        <v>8542640</v>
      </c>
      <c r="H85" s="101"/>
      <c r="I85" s="101"/>
      <c r="J85" s="88">
        <f t="shared" si="33"/>
        <v>8542640</v>
      </c>
    </row>
    <row r="86" spans="1:10" x14ac:dyDescent="0.25">
      <c r="A86" s="183">
        <v>30000000</v>
      </c>
      <c r="B86" s="174" t="s">
        <v>240</v>
      </c>
      <c r="C86" s="169">
        <f t="shared" si="30"/>
        <v>0</v>
      </c>
      <c r="D86" s="169">
        <f>SUM(D87)</f>
        <v>0</v>
      </c>
      <c r="E86" s="169">
        <f t="shared" ref="E86:I88" si="37">SUM(E87)</f>
        <v>0</v>
      </c>
      <c r="F86" s="169">
        <f t="shared" si="32"/>
        <v>0</v>
      </c>
      <c r="G86" s="88">
        <f t="shared" si="37"/>
        <v>0</v>
      </c>
      <c r="H86" s="88">
        <f t="shared" si="37"/>
        <v>0</v>
      </c>
      <c r="I86" s="88">
        <f t="shared" si="37"/>
        <v>0</v>
      </c>
      <c r="J86" s="88">
        <f t="shared" si="33"/>
        <v>0</v>
      </c>
    </row>
    <row r="87" spans="1:10" x14ac:dyDescent="0.25">
      <c r="A87" s="183">
        <v>31000000</v>
      </c>
      <c r="B87" s="174" t="s">
        <v>241</v>
      </c>
      <c r="C87" s="169">
        <f t="shared" si="30"/>
        <v>0</v>
      </c>
      <c r="D87" s="169">
        <f>SUM(D88)</f>
        <v>0</v>
      </c>
      <c r="E87" s="169">
        <f t="shared" si="37"/>
        <v>0</v>
      </c>
      <c r="F87" s="169">
        <f t="shared" si="32"/>
        <v>0</v>
      </c>
      <c r="G87" s="88">
        <f t="shared" si="37"/>
        <v>0</v>
      </c>
      <c r="H87" s="88">
        <f t="shared" si="37"/>
        <v>0</v>
      </c>
      <c r="I87" s="88">
        <f t="shared" si="37"/>
        <v>0</v>
      </c>
      <c r="J87" s="88">
        <f t="shared" si="33"/>
        <v>0</v>
      </c>
    </row>
    <row r="88" spans="1:10" ht="48" x14ac:dyDescent="0.25">
      <c r="A88" s="183">
        <v>31010000</v>
      </c>
      <c r="B88" s="174" t="s">
        <v>242</v>
      </c>
      <c r="C88" s="169">
        <f t="shared" si="30"/>
        <v>0</v>
      </c>
      <c r="D88" s="169">
        <f>SUM(D89)</f>
        <v>0</v>
      </c>
      <c r="E88" s="169">
        <f t="shared" si="37"/>
        <v>0</v>
      </c>
      <c r="F88" s="169">
        <f t="shared" si="32"/>
        <v>0</v>
      </c>
      <c r="G88" s="88">
        <f t="shared" si="37"/>
        <v>0</v>
      </c>
      <c r="H88" s="88">
        <f t="shared" si="37"/>
        <v>0</v>
      </c>
      <c r="I88" s="88">
        <f t="shared" si="37"/>
        <v>0</v>
      </c>
      <c r="J88" s="88">
        <f t="shared" si="33"/>
        <v>0</v>
      </c>
    </row>
    <row r="89" spans="1:10" ht="48" x14ac:dyDescent="0.25">
      <c r="A89" s="94">
        <v>31010200</v>
      </c>
      <c r="B89" s="95" t="s">
        <v>243</v>
      </c>
      <c r="C89" s="88">
        <f t="shared" si="30"/>
        <v>0</v>
      </c>
      <c r="D89" s="101"/>
      <c r="E89" s="101"/>
      <c r="F89" s="88">
        <f t="shared" si="32"/>
        <v>0</v>
      </c>
      <c r="G89" s="101"/>
      <c r="H89" s="101"/>
      <c r="I89" s="101"/>
      <c r="J89" s="88">
        <f t="shared" si="33"/>
        <v>0</v>
      </c>
    </row>
    <row r="90" spans="1:10" x14ac:dyDescent="0.25">
      <c r="A90" s="212"/>
      <c r="B90" s="99" t="s">
        <v>124</v>
      </c>
      <c r="C90" s="88">
        <f t="shared" si="30"/>
        <v>573282024</v>
      </c>
      <c r="D90" s="88">
        <f>SUM(D9+D58+D86)</f>
        <v>558996400</v>
      </c>
      <c r="E90" s="88">
        <f>SUM(E9+E58+E86)</f>
        <v>5037684</v>
      </c>
      <c r="F90" s="88">
        <f>SUM(D90:E90)</f>
        <v>564034084</v>
      </c>
      <c r="G90" s="88">
        <f>SUM(G9+G58+G86)</f>
        <v>9247940</v>
      </c>
      <c r="H90" s="88">
        <f>SUM(H9+H58+H86)</f>
        <v>0</v>
      </c>
      <c r="I90" s="88">
        <f>SUM(I9+I58+I86)</f>
        <v>0</v>
      </c>
      <c r="J90" s="88">
        <f t="shared" si="33"/>
        <v>9247940</v>
      </c>
    </row>
    <row r="91" spans="1:10" x14ac:dyDescent="0.25">
      <c r="A91" s="212">
        <v>40000000</v>
      </c>
      <c r="B91" s="99" t="s">
        <v>125</v>
      </c>
      <c r="C91" s="88">
        <f t="shared" si="30"/>
        <v>148447515.09</v>
      </c>
      <c r="D91" s="88">
        <f>SUM(D92+D110)</f>
        <v>144955243.09</v>
      </c>
      <c r="E91" s="88">
        <f t="shared" ref="E91:I91" si="38">SUM(E92+E110)</f>
        <v>70272</v>
      </c>
      <c r="F91" s="88">
        <f t="shared" ref="F91:F97" si="39">SUM(D91:E91)</f>
        <v>145025515.09</v>
      </c>
      <c r="G91" s="88">
        <f t="shared" si="38"/>
        <v>3422000</v>
      </c>
      <c r="H91" s="88">
        <f t="shared" si="38"/>
        <v>0</v>
      </c>
      <c r="I91" s="88">
        <f t="shared" si="38"/>
        <v>0</v>
      </c>
      <c r="J91" s="88">
        <f t="shared" si="33"/>
        <v>3422000</v>
      </c>
    </row>
    <row r="92" spans="1:10" x14ac:dyDescent="0.25">
      <c r="A92" s="86">
        <v>41000000</v>
      </c>
      <c r="B92" s="87" t="s">
        <v>126</v>
      </c>
      <c r="C92" s="88">
        <f t="shared" si="30"/>
        <v>145975515.09</v>
      </c>
      <c r="D92" s="89">
        <f>SUM(D93+D98)</f>
        <v>144955243.09</v>
      </c>
      <c r="E92" s="89">
        <f>SUM(E93+E98)</f>
        <v>70272</v>
      </c>
      <c r="F92" s="88">
        <f t="shared" si="39"/>
        <v>145025515.09</v>
      </c>
      <c r="G92" s="89">
        <f>SUM(G93+G98)</f>
        <v>950000</v>
      </c>
      <c r="H92" s="89">
        <f>SUM(H93+H98)</f>
        <v>0</v>
      </c>
      <c r="I92" s="89">
        <f>SUM(I93+I98)</f>
        <v>0</v>
      </c>
      <c r="J92" s="88">
        <f t="shared" si="33"/>
        <v>950000</v>
      </c>
    </row>
    <row r="93" spans="1:10" x14ac:dyDescent="0.25">
      <c r="A93" s="86">
        <v>41030000</v>
      </c>
      <c r="B93" s="87" t="s">
        <v>127</v>
      </c>
      <c r="C93" s="88">
        <f t="shared" si="30"/>
        <v>142342200</v>
      </c>
      <c r="D93" s="89">
        <f>SUM(D94:D97)</f>
        <v>142342200</v>
      </c>
      <c r="E93" s="89">
        <f>SUM(E94:E97)</f>
        <v>0</v>
      </c>
      <c r="F93" s="88">
        <f t="shared" si="39"/>
        <v>142342200</v>
      </c>
      <c r="G93" s="89">
        <f>SUM(G94:G97)</f>
        <v>0</v>
      </c>
      <c r="H93" s="89">
        <f>SUM(H94:H97)</f>
        <v>0</v>
      </c>
      <c r="I93" s="89">
        <f>SUM(I94:I97)</f>
        <v>0</v>
      </c>
      <c r="J93" s="88">
        <f t="shared" si="33"/>
        <v>0</v>
      </c>
    </row>
    <row r="94" spans="1:10" x14ac:dyDescent="0.25">
      <c r="A94" s="90">
        <v>41033900</v>
      </c>
      <c r="B94" s="91" t="s">
        <v>128</v>
      </c>
      <c r="C94" s="88">
        <f t="shared" si="30"/>
        <v>129546700</v>
      </c>
      <c r="D94" s="92">
        <v>129546700</v>
      </c>
      <c r="E94" s="92"/>
      <c r="F94" s="88">
        <f t="shared" si="39"/>
        <v>129546700</v>
      </c>
      <c r="G94" s="89"/>
      <c r="H94" s="89"/>
      <c r="I94" s="89"/>
      <c r="J94" s="88">
        <f t="shared" si="33"/>
        <v>0</v>
      </c>
    </row>
    <row r="95" spans="1:10" ht="24" x14ac:dyDescent="0.25">
      <c r="A95" s="90">
        <v>41035400</v>
      </c>
      <c r="B95" s="91" t="s">
        <v>362</v>
      </c>
      <c r="C95" s="88">
        <f t="shared" si="30"/>
        <v>839300</v>
      </c>
      <c r="D95" s="92">
        <v>839300</v>
      </c>
      <c r="E95" s="92"/>
      <c r="F95" s="88">
        <f t="shared" si="39"/>
        <v>839300</v>
      </c>
      <c r="G95" s="89"/>
      <c r="H95" s="89"/>
      <c r="I95" s="89"/>
      <c r="J95" s="88">
        <f t="shared" si="33"/>
        <v>0</v>
      </c>
    </row>
    <row r="96" spans="1:10" ht="48" x14ac:dyDescent="0.25">
      <c r="A96" s="90">
        <v>41036000</v>
      </c>
      <c r="B96" s="91" t="s">
        <v>360</v>
      </c>
      <c r="C96" s="88">
        <f t="shared" si="30"/>
        <v>2451400</v>
      </c>
      <c r="D96" s="92">
        <v>2451400</v>
      </c>
      <c r="E96" s="92"/>
      <c r="F96" s="88">
        <f t="shared" si="39"/>
        <v>2451400</v>
      </c>
      <c r="G96" s="89"/>
      <c r="H96" s="89"/>
      <c r="I96" s="89"/>
      <c r="J96" s="88">
        <f t="shared" si="33"/>
        <v>0</v>
      </c>
    </row>
    <row r="97" spans="1:10" ht="36" x14ac:dyDescent="0.25">
      <c r="A97" s="90">
        <v>41036300</v>
      </c>
      <c r="B97" s="91" t="s">
        <v>361</v>
      </c>
      <c r="C97" s="88">
        <f t="shared" si="30"/>
        <v>9504800</v>
      </c>
      <c r="D97" s="92">
        <v>9504800</v>
      </c>
      <c r="E97" s="92"/>
      <c r="F97" s="88">
        <f t="shared" si="39"/>
        <v>9504800</v>
      </c>
      <c r="G97" s="89"/>
      <c r="H97" s="89"/>
      <c r="I97" s="89"/>
      <c r="J97" s="88">
        <f t="shared" si="33"/>
        <v>0</v>
      </c>
    </row>
    <row r="98" spans="1:10" x14ac:dyDescent="0.25">
      <c r="A98" s="86">
        <v>41050000</v>
      </c>
      <c r="B98" s="87" t="s">
        <v>129</v>
      </c>
      <c r="C98" s="88">
        <f>SUM(F98+J98)</f>
        <v>3877113.1799999997</v>
      </c>
      <c r="D98" s="89">
        <f>SUM(D99+D100)</f>
        <v>2613043.09</v>
      </c>
      <c r="E98" s="89">
        <f>SUM(E99+E100+E109)</f>
        <v>70272</v>
      </c>
      <c r="F98" s="89">
        <f t="shared" ref="F98:I98" si="40">SUM(F99+F100+F109)</f>
        <v>2927113.1799999997</v>
      </c>
      <c r="G98" s="89">
        <f t="shared" si="40"/>
        <v>950000</v>
      </c>
      <c r="H98" s="89">
        <f t="shared" si="40"/>
        <v>0</v>
      </c>
      <c r="I98" s="89">
        <f t="shared" si="40"/>
        <v>0</v>
      </c>
      <c r="J98" s="88">
        <f t="shared" si="33"/>
        <v>950000</v>
      </c>
    </row>
    <row r="99" spans="1:10" ht="48" x14ac:dyDescent="0.25">
      <c r="A99" s="90">
        <v>41051000</v>
      </c>
      <c r="B99" s="91" t="s">
        <v>130</v>
      </c>
      <c r="C99" s="88">
        <f t="shared" si="30"/>
        <v>2026900</v>
      </c>
      <c r="D99" s="92">
        <v>2026900</v>
      </c>
      <c r="E99" s="92"/>
      <c r="F99" s="88">
        <f t="shared" si="32"/>
        <v>2026900</v>
      </c>
      <c r="G99" s="92"/>
      <c r="H99" s="92"/>
      <c r="I99" s="92"/>
      <c r="J99" s="88">
        <f t="shared" si="33"/>
        <v>0</v>
      </c>
    </row>
    <row r="100" spans="1:10" x14ac:dyDescent="0.25">
      <c r="A100" s="90">
        <v>41053900</v>
      </c>
      <c r="B100" s="91" t="s">
        <v>131</v>
      </c>
      <c r="C100" s="88">
        <f t="shared" si="30"/>
        <v>1606415.0899999999</v>
      </c>
      <c r="D100" s="89">
        <f>SUM(D101+D109+D108)</f>
        <v>586143.09</v>
      </c>
      <c r="E100" s="89">
        <f t="shared" ref="E100:J100" si="41">SUM(E101+E109+E108)</f>
        <v>70272</v>
      </c>
      <c r="F100" s="89">
        <f t="shared" si="41"/>
        <v>656415.09</v>
      </c>
      <c r="G100" s="89">
        <f t="shared" si="41"/>
        <v>950000</v>
      </c>
      <c r="H100" s="89">
        <f t="shared" si="41"/>
        <v>0</v>
      </c>
      <c r="I100" s="89">
        <f t="shared" si="41"/>
        <v>0</v>
      </c>
      <c r="J100" s="89">
        <f t="shared" si="41"/>
        <v>950000</v>
      </c>
    </row>
    <row r="101" spans="1:10" x14ac:dyDescent="0.25">
      <c r="A101" s="90"/>
      <c r="B101" s="91" t="s">
        <v>132</v>
      </c>
      <c r="C101" s="88">
        <f t="shared" si="30"/>
        <v>1292345</v>
      </c>
      <c r="D101" s="92">
        <f>SUM(D102:D107)</f>
        <v>342345</v>
      </c>
      <c r="E101" s="92">
        <f t="shared" ref="E101:I101" si="42">SUM(E102:E107)</f>
        <v>0</v>
      </c>
      <c r="F101" s="92">
        <f t="shared" si="42"/>
        <v>342345</v>
      </c>
      <c r="G101" s="92">
        <f t="shared" si="42"/>
        <v>950000</v>
      </c>
      <c r="H101" s="92">
        <f t="shared" si="42"/>
        <v>0</v>
      </c>
      <c r="I101" s="92">
        <f t="shared" si="42"/>
        <v>0</v>
      </c>
      <c r="J101" s="88">
        <f t="shared" si="33"/>
        <v>950000</v>
      </c>
    </row>
    <row r="102" spans="1:10" ht="36" x14ac:dyDescent="0.25">
      <c r="A102" s="90"/>
      <c r="B102" s="91" t="s">
        <v>133</v>
      </c>
      <c r="C102" s="88">
        <f t="shared" si="30"/>
        <v>13420</v>
      </c>
      <c r="D102" s="92">
        <v>13420</v>
      </c>
      <c r="E102" s="92"/>
      <c r="F102" s="88">
        <f t="shared" si="32"/>
        <v>13420</v>
      </c>
      <c r="G102" s="92"/>
      <c r="H102" s="92"/>
      <c r="I102" s="92"/>
      <c r="J102" s="88">
        <f t="shared" si="33"/>
        <v>0</v>
      </c>
    </row>
    <row r="103" spans="1:10" ht="24" x14ac:dyDescent="0.25">
      <c r="A103" s="90"/>
      <c r="B103" s="91" t="s">
        <v>134</v>
      </c>
      <c r="C103" s="88">
        <f t="shared" si="30"/>
        <v>56925</v>
      </c>
      <c r="D103" s="92">
        <v>56925</v>
      </c>
      <c r="E103" s="92"/>
      <c r="F103" s="88">
        <f t="shared" si="32"/>
        <v>56925</v>
      </c>
      <c r="G103" s="92"/>
      <c r="H103" s="92"/>
      <c r="I103" s="92"/>
      <c r="J103" s="88">
        <f t="shared" si="33"/>
        <v>0</v>
      </c>
    </row>
    <row r="104" spans="1:10" x14ac:dyDescent="0.25">
      <c r="A104" s="90"/>
      <c r="B104" s="91" t="s">
        <v>135</v>
      </c>
      <c r="C104" s="88">
        <f t="shared" si="30"/>
        <v>72000</v>
      </c>
      <c r="D104" s="92">
        <v>72000</v>
      </c>
      <c r="E104" s="92"/>
      <c r="F104" s="88">
        <f t="shared" si="32"/>
        <v>72000</v>
      </c>
      <c r="G104" s="92"/>
      <c r="H104" s="92"/>
      <c r="I104" s="92"/>
      <c r="J104" s="88">
        <f t="shared" si="33"/>
        <v>0</v>
      </c>
    </row>
    <row r="105" spans="1:10" ht="42" customHeight="1" x14ac:dyDescent="0.25">
      <c r="A105" s="90"/>
      <c r="B105" s="91" t="s">
        <v>374</v>
      </c>
      <c r="C105" s="88">
        <f t="shared" si="30"/>
        <v>650000</v>
      </c>
      <c r="D105" s="92"/>
      <c r="E105" s="92"/>
      <c r="F105" s="88">
        <f t="shared" si="32"/>
        <v>0</v>
      </c>
      <c r="G105" s="92">
        <v>650000</v>
      </c>
      <c r="H105" s="92"/>
      <c r="I105" s="92"/>
      <c r="J105" s="88">
        <f t="shared" si="33"/>
        <v>650000</v>
      </c>
    </row>
    <row r="106" spans="1:10" ht="36" x14ac:dyDescent="0.25">
      <c r="A106" s="90"/>
      <c r="B106" s="91" t="s">
        <v>375</v>
      </c>
      <c r="C106" s="88">
        <f t="shared" si="30"/>
        <v>200000</v>
      </c>
      <c r="D106" s="92">
        <v>200000</v>
      </c>
      <c r="E106" s="92"/>
      <c r="F106" s="88">
        <f t="shared" si="32"/>
        <v>200000</v>
      </c>
      <c r="G106" s="92"/>
      <c r="H106" s="92"/>
      <c r="I106" s="92"/>
      <c r="J106" s="88">
        <f t="shared" si="33"/>
        <v>0</v>
      </c>
    </row>
    <row r="107" spans="1:10" ht="60" x14ac:dyDescent="0.25">
      <c r="A107" s="90"/>
      <c r="B107" s="91" t="s">
        <v>376</v>
      </c>
      <c r="C107" s="88">
        <f t="shared" si="30"/>
        <v>300000</v>
      </c>
      <c r="D107" s="92"/>
      <c r="E107" s="92"/>
      <c r="F107" s="88">
        <f t="shared" si="32"/>
        <v>0</v>
      </c>
      <c r="G107" s="92">
        <v>300000</v>
      </c>
      <c r="H107" s="92"/>
      <c r="I107" s="92"/>
      <c r="J107" s="88">
        <f>SUM(G107:H107)</f>
        <v>300000</v>
      </c>
    </row>
    <row r="108" spans="1:10" ht="36" x14ac:dyDescent="0.25">
      <c r="A108" s="124">
        <v>41057700</v>
      </c>
      <c r="B108" s="247" t="s">
        <v>488</v>
      </c>
      <c r="C108" s="88">
        <f t="shared" si="30"/>
        <v>70272</v>
      </c>
      <c r="D108" s="92"/>
      <c r="E108" s="92">
        <v>70272</v>
      </c>
      <c r="F108" s="88">
        <f t="shared" si="32"/>
        <v>70272</v>
      </c>
      <c r="G108" s="92"/>
      <c r="H108" s="92"/>
      <c r="I108" s="92"/>
      <c r="J108" s="88">
        <f>SUM(G108:H108)</f>
        <v>0</v>
      </c>
    </row>
    <row r="109" spans="1:10" ht="60" x14ac:dyDescent="0.25">
      <c r="A109" s="90">
        <v>41059300</v>
      </c>
      <c r="B109" s="91" t="s">
        <v>377</v>
      </c>
      <c r="C109" s="88">
        <f>SUM(F109+J109)</f>
        <v>243798.09</v>
      </c>
      <c r="D109" s="92">
        <v>243798.09</v>
      </c>
      <c r="E109" s="92"/>
      <c r="F109" s="88">
        <f>SUM(D109:E109)</f>
        <v>243798.09</v>
      </c>
      <c r="G109" s="89"/>
      <c r="H109" s="89"/>
      <c r="I109" s="89"/>
      <c r="J109" s="88">
        <f t="shared" si="33"/>
        <v>0</v>
      </c>
    </row>
    <row r="110" spans="1:10" ht="24" x14ac:dyDescent="0.25">
      <c r="A110" s="96">
        <v>42000000</v>
      </c>
      <c r="B110" s="234" t="s">
        <v>482</v>
      </c>
      <c r="C110" s="235">
        <f t="shared" ref="C110" si="43">SUM(F110+J110)</f>
        <v>2472000</v>
      </c>
      <c r="D110" s="236">
        <f>SUM(D111)</f>
        <v>0</v>
      </c>
      <c r="E110" s="236">
        <f>SUM(E111)</f>
        <v>0</v>
      </c>
      <c r="F110" s="236">
        <f t="shared" ref="F110" si="44">SUM(D110+E110)</f>
        <v>0</v>
      </c>
      <c r="G110" s="236">
        <f>SUM(G111)</f>
        <v>2472000</v>
      </c>
      <c r="H110" s="236">
        <f>SUM(H111)</f>
        <v>0</v>
      </c>
      <c r="I110" s="236">
        <f>SUM(I111)</f>
        <v>0</v>
      </c>
      <c r="J110" s="88">
        <f t="shared" si="33"/>
        <v>2472000</v>
      </c>
    </row>
    <row r="111" spans="1:10" x14ac:dyDescent="0.25">
      <c r="A111" s="94">
        <v>42020500</v>
      </c>
      <c r="B111" s="237" t="s">
        <v>483</v>
      </c>
      <c r="C111" s="235">
        <f>SUM(F111+J111)</f>
        <v>2472000</v>
      </c>
      <c r="D111" s="238"/>
      <c r="E111" s="238"/>
      <c r="F111" s="236">
        <f>SUM(D111+E111)</f>
        <v>0</v>
      </c>
      <c r="G111" s="238">
        <v>2472000</v>
      </c>
      <c r="H111" s="238"/>
      <c r="I111" s="239"/>
      <c r="J111" s="88">
        <f t="shared" si="33"/>
        <v>2472000</v>
      </c>
    </row>
    <row r="112" spans="1:10" ht="14.25" customHeight="1" x14ac:dyDescent="0.25">
      <c r="A112" s="85"/>
      <c r="B112" s="99" t="s">
        <v>136</v>
      </c>
      <c r="C112" s="88">
        <f>SUM(F112+J112)</f>
        <v>721729539.09000003</v>
      </c>
      <c r="D112" s="88">
        <f>SUM(D90+D91)</f>
        <v>703951643.09000003</v>
      </c>
      <c r="E112" s="88">
        <f t="shared" ref="E112:I112" si="45">SUM(E90+E91)</f>
        <v>5107956</v>
      </c>
      <c r="F112" s="88">
        <f>SUM(F90+F91)</f>
        <v>709059599.09000003</v>
      </c>
      <c r="G112" s="88">
        <f t="shared" si="45"/>
        <v>12669940</v>
      </c>
      <c r="H112" s="88">
        <f t="shared" si="45"/>
        <v>0</v>
      </c>
      <c r="I112" s="88">
        <f t="shared" si="45"/>
        <v>0</v>
      </c>
      <c r="J112" s="88">
        <f t="shared" si="33"/>
        <v>12669940</v>
      </c>
    </row>
    <row r="113" spans="2:15" ht="14.45" x14ac:dyDescent="0.3">
      <c r="F113" s="35"/>
    </row>
    <row r="114" spans="2:15" ht="14.45" x14ac:dyDescent="0.3">
      <c r="D114" s="81"/>
    </row>
    <row r="115" spans="2:15" ht="18.75" x14ac:dyDescent="0.3">
      <c r="B115" s="27" t="s">
        <v>230</v>
      </c>
      <c r="C115" s="35"/>
      <c r="D115" s="27"/>
      <c r="E115" s="27"/>
      <c r="F115" s="27"/>
      <c r="G115" s="27" t="s">
        <v>231</v>
      </c>
      <c r="H115" s="27"/>
      <c r="I115" s="27"/>
      <c r="O115" s="27"/>
    </row>
    <row r="118" spans="2:15" ht="14.45" x14ac:dyDescent="0.3">
      <c r="F118" s="35"/>
    </row>
    <row r="119" spans="2:15" ht="14.45" x14ac:dyDescent="0.3">
      <c r="G119" s="35"/>
      <c r="H119" s="35"/>
      <c r="I119" s="35"/>
    </row>
    <row r="121" spans="2:15" ht="14.45" x14ac:dyDescent="0.3">
      <c r="B121" s="35"/>
    </row>
  </sheetData>
  <mergeCells count="6">
    <mergeCell ref="A3:J3"/>
    <mergeCell ref="A6:A7"/>
    <mergeCell ref="B6:B7"/>
    <mergeCell ref="C6:C7"/>
    <mergeCell ref="D6:F6"/>
    <mergeCell ref="G6:J6"/>
  </mergeCells>
  <pageMargins left="0.70866141732283472" right="0.31496062992125984" top="0.55118110236220474" bottom="0.55118110236220474" header="0.11811023622047245" footer="0.11811023622047245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workbookViewId="0"/>
  </sheetViews>
  <sheetFormatPr defaultRowHeight="15" x14ac:dyDescent="0.25"/>
  <cols>
    <col min="1" max="1" width="10.85546875" customWidth="1"/>
    <col min="2" max="2" width="51.140625" customWidth="1"/>
    <col min="3" max="4" width="14.85546875" customWidth="1"/>
    <col min="5" max="5" width="14.140625" customWidth="1"/>
    <col min="6" max="6" width="14.5703125" customWidth="1"/>
    <col min="7" max="7" width="15.28515625" customWidth="1"/>
    <col min="8" max="8" width="13.7109375" customWidth="1"/>
    <col min="9" max="9" width="14.85546875" customWidth="1"/>
    <col min="10" max="10" width="14.140625" customWidth="1"/>
    <col min="11" max="11" width="12.5703125" customWidth="1"/>
    <col min="12" max="12" width="14.7109375" customWidth="1"/>
  </cols>
  <sheetData>
    <row r="1" spans="1:12" ht="18.75" x14ac:dyDescent="0.25">
      <c r="A1" s="36"/>
      <c r="B1" s="36"/>
      <c r="C1" s="9"/>
      <c r="D1" s="9"/>
      <c r="E1" s="9"/>
      <c r="F1" s="9"/>
      <c r="G1" s="9"/>
      <c r="H1" s="9"/>
      <c r="I1" s="9" t="s">
        <v>138</v>
      </c>
      <c r="J1" s="9"/>
      <c r="K1" s="9"/>
      <c r="L1" s="9"/>
    </row>
    <row r="2" spans="1:12" ht="18.75" x14ac:dyDescent="0.25">
      <c r="A2" s="36"/>
      <c r="B2" s="36"/>
      <c r="C2" s="9"/>
      <c r="D2" s="9"/>
      <c r="E2" s="9"/>
      <c r="F2" s="9"/>
      <c r="G2" s="9"/>
      <c r="H2" s="9"/>
      <c r="I2" s="9" t="s">
        <v>494</v>
      </c>
      <c r="J2" s="9"/>
      <c r="K2" s="9"/>
      <c r="L2" s="9"/>
    </row>
    <row r="3" spans="1:12" ht="18.75" x14ac:dyDescent="0.25">
      <c r="A3" s="258" t="s">
        <v>343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</row>
    <row r="4" spans="1:12" ht="15.75" customHeight="1" x14ac:dyDescent="0.3">
      <c r="A4" s="259" t="s">
        <v>344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</row>
    <row r="5" spans="1:12" x14ac:dyDescent="0.25">
      <c r="A5" s="260" t="s">
        <v>333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</row>
    <row r="6" spans="1:12" x14ac:dyDescent="0.25">
      <c r="A6" s="37"/>
      <c r="B6" s="37"/>
      <c r="C6" s="36"/>
      <c r="D6" s="36"/>
      <c r="E6" s="36"/>
      <c r="F6" s="37"/>
      <c r="G6" s="37"/>
      <c r="H6" s="37"/>
      <c r="I6" s="37"/>
      <c r="J6" s="37"/>
      <c r="K6" s="37"/>
      <c r="L6" s="38" t="s">
        <v>259</v>
      </c>
    </row>
    <row r="7" spans="1:12" ht="15.75" customHeight="1" x14ac:dyDescent="0.25">
      <c r="A7" s="257" t="s">
        <v>56</v>
      </c>
      <c r="B7" s="257" t="s">
        <v>140</v>
      </c>
      <c r="C7" s="264" t="s">
        <v>340</v>
      </c>
      <c r="D7" s="265"/>
      <c r="E7" s="266"/>
      <c r="F7" s="264" t="s">
        <v>7</v>
      </c>
      <c r="G7" s="265"/>
      <c r="H7" s="266"/>
      <c r="I7" s="261" t="s">
        <v>8</v>
      </c>
      <c r="J7" s="262"/>
      <c r="K7" s="262"/>
      <c r="L7" s="263"/>
    </row>
    <row r="8" spans="1:12" ht="15.75" customHeight="1" x14ac:dyDescent="0.25">
      <c r="A8" s="257"/>
      <c r="B8" s="257"/>
      <c r="C8" s="257" t="s">
        <v>338</v>
      </c>
      <c r="D8" s="257" t="s">
        <v>341</v>
      </c>
      <c r="E8" s="257" t="s">
        <v>337</v>
      </c>
      <c r="F8" s="257" t="s">
        <v>338</v>
      </c>
      <c r="G8" s="257" t="s">
        <v>341</v>
      </c>
      <c r="H8" s="257" t="s">
        <v>337</v>
      </c>
      <c r="I8" s="267" t="s">
        <v>338</v>
      </c>
      <c r="J8" s="261" t="s">
        <v>341</v>
      </c>
      <c r="K8" s="263"/>
      <c r="L8" s="267" t="s">
        <v>337</v>
      </c>
    </row>
    <row r="9" spans="1:12" ht="24" x14ac:dyDescent="0.25">
      <c r="A9" s="257"/>
      <c r="B9" s="257"/>
      <c r="C9" s="257"/>
      <c r="D9" s="257"/>
      <c r="E9" s="257"/>
      <c r="F9" s="257"/>
      <c r="G9" s="257"/>
      <c r="H9" s="257"/>
      <c r="I9" s="268"/>
      <c r="J9" s="82" t="s">
        <v>58</v>
      </c>
      <c r="K9" s="82" t="s">
        <v>342</v>
      </c>
      <c r="L9" s="268"/>
    </row>
    <row r="10" spans="1:12" x14ac:dyDescent="0.25">
      <c r="A10" s="39">
        <v>1</v>
      </c>
      <c r="B10" s="39">
        <v>2</v>
      </c>
      <c r="C10" s="39">
        <v>3</v>
      </c>
      <c r="D10" s="39"/>
      <c r="E10" s="39"/>
      <c r="F10" s="39">
        <v>4</v>
      </c>
      <c r="G10" s="39"/>
      <c r="H10" s="39"/>
      <c r="I10" s="39">
        <v>5</v>
      </c>
      <c r="J10" s="39"/>
      <c r="K10" s="39"/>
      <c r="L10" s="39">
        <v>6</v>
      </c>
    </row>
    <row r="11" spans="1:12" x14ac:dyDescent="0.25">
      <c r="A11" s="102" t="s">
        <v>260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</row>
    <row r="12" spans="1:12" x14ac:dyDescent="0.25">
      <c r="A12" s="103">
        <v>200000</v>
      </c>
      <c r="B12" s="104" t="s">
        <v>141</v>
      </c>
      <c r="C12" s="105">
        <f>SUM(F12+I12)</f>
        <v>87613530</v>
      </c>
      <c r="D12" s="105">
        <f>SUM(G12+J12)</f>
        <v>3322570</v>
      </c>
      <c r="E12" s="105">
        <f>SUM(C12:D12)</f>
        <v>90936100</v>
      </c>
      <c r="F12" s="105">
        <f>SUM(F17)+F13</f>
        <v>-44182857</v>
      </c>
      <c r="G12" s="105">
        <f t="shared" ref="G12" si="0">SUM(G17)+G13</f>
        <v>-7701890</v>
      </c>
      <c r="H12" s="105">
        <f>SUM(H17)+H13</f>
        <v>-51884747</v>
      </c>
      <c r="I12" s="105">
        <f t="shared" ref="I12:J12" si="1">SUM(I17)+I13</f>
        <v>131796387</v>
      </c>
      <c r="J12" s="105">
        <f t="shared" si="1"/>
        <v>11024460</v>
      </c>
      <c r="K12" s="105">
        <f t="shared" ref="K12" si="2">SUM(K17)+K13</f>
        <v>11024460</v>
      </c>
      <c r="L12" s="105">
        <f>SUM(I12:J12)</f>
        <v>142820847</v>
      </c>
    </row>
    <row r="13" spans="1:12" ht="20.25" customHeight="1" x14ac:dyDescent="0.25">
      <c r="A13" s="79">
        <v>202000</v>
      </c>
      <c r="B13" s="18" t="s">
        <v>261</v>
      </c>
      <c r="C13" s="105">
        <f t="shared" ref="C13:C32" si="3">SUM(F13+I13)</f>
        <v>40120460</v>
      </c>
      <c r="D13" s="105">
        <f t="shared" ref="D13:D33" si="4">SUM(G13+J13)</f>
        <v>0</v>
      </c>
      <c r="E13" s="105">
        <f t="shared" ref="E13:E32" si="5">SUM(C13:D13)</f>
        <v>40120460</v>
      </c>
      <c r="F13" s="13">
        <f>SUM(F14)</f>
        <v>0</v>
      </c>
      <c r="G13" s="13">
        <f t="shared" ref="G13:K13" si="6">SUM(G14)</f>
        <v>0</v>
      </c>
      <c r="H13" s="13">
        <f t="shared" si="6"/>
        <v>0</v>
      </c>
      <c r="I13" s="13">
        <f t="shared" si="6"/>
        <v>40120460</v>
      </c>
      <c r="J13" s="13">
        <f t="shared" si="6"/>
        <v>0</v>
      </c>
      <c r="K13" s="13">
        <f t="shared" si="6"/>
        <v>0</v>
      </c>
      <c r="L13" s="105">
        <f t="shared" ref="L13:L27" si="7">SUM(I13:J13)</f>
        <v>40120460</v>
      </c>
    </row>
    <row r="14" spans="1:12" x14ac:dyDescent="0.25">
      <c r="A14" s="79">
        <v>202200</v>
      </c>
      <c r="B14" s="18" t="s">
        <v>262</v>
      </c>
      <c r="C14" s="105">
        <f t="shared" si="3"/>
        <v>40120460</v>
      </c>
      <c r="D14" s="105">
        <f t="shared" si="4"/>
        <v>0</v>
      </c>
      <c r="E14" s="105">
        <f t="shared" si="5"/>
        <v>40120460</v>
      </c>
      <c r="F14" s="13">
        <f>SUM(F15:F16)</f>
        <v>0</v>
      </c>
      <c r="G14" s="13">
        <f t="shared" ref="G14:K14" si="8">SUM(G15:G16)</f>
        <v>0</v>
      </c>
      <c r="H14" s="13">
        <f t="shared" si="8"/>
        <v>0</v>
      </c>
      <c r="I14" s="13">
        <f t="shared" si="8"/>
        <v>40120460</v>
      </c>
      <c r="J14" s="13">
        <f t="shared" si="8"/>
        <v>0</v>
      </c>
      <c r="K14" s="13">
        <f t="shared" si="8"/>
        <v>0</v>
      </c>
      <c r="L14" s="105">
        <f t="shared" si="7"/>
        <v>40120460</v>
      </c>
    </row>
    <row r="15" spans="1:12" x14ac:dyDescent="0.25">
      <c r="A15" s="20">
        <v>202210</v>
      </c>
      <c r="B15" s="7" t="s">
        <v>263</v>
      </c>
      <c r="C15" s="105">
        <f t="shared" si="3"/>
        <v>40140000</v>
      </c>
      <c r="D15" s="105">
        <f t="shared" si="4"/>
        <v>0</v>
      </c>
      <c r="E15" s="105">
        <f t="shared" si="5"/>
        <v>40140000</v>
      </c>
      <c r="F15" s="19">
        <v>0</v>
      </c>
      <c r="G15" s="19"/>
      <c r="H15" s="105">
        <f t="shared" ref="H15:H28" si="9">SUM(F15:G15)</f>
        <v>0</v>
      </c>
      <c r="I15" s="19">
        <v>40140000</v>
      </c>
      <c r="J15" s="19"/>
      <c r="K15" s="19"/>
      <c r="L15" s="105">
        <f t="shared" si="7"/>
        <v>40140000</v>
      </c>
    </row>
    <row r="16" spans="1:12" x14ac:dyDescent="0.25">
      <c r="A16" s="20">
        <v>202220</v>
      </c>
      <c r="B16" s="7" t="s">
        <v>264</v>
      </c>
      <c r="C16" s="105">
        <f t="shared" si="3"/>
        <v>-19540</v>
      </c>
      <c r="D16" s="105">
        <f t="shared" si="4"/>
        <v>0</v>
      </c>
      <c r="E16" s="105">
        <f t="shared" si="5"/>
        <v>-19540</v>
      </c>
      <c r="F16" s="19">
        <v>0</v>
      </c>
      <c r="G16" s="19"/>
      <c r="H16" s="105">
        <f t="shared" si="9"/>
        <v>0</v>
      </c>
      <c r="I16" s="19">
        <v>-19540</v>
      </c>
      <c r="J16" s="19"/>
      <c r="K16" s="19"/>
      <c r="L16" s="105">
        <f t="shared" si="7"/>
        <v>-19540</v>
      </c>
    </row>
    <row r="17" spans="1:17" ht="31.5" customHeight="1" x14ac:dyDescent="0.25">
      <c r="A17" s="103">
        <v>208000</v>
      </c>
      <c r="B17" s="110" t="s">
        <v>265</v>
      </c>
      <c r="C17" s="105">
        <f t="shared" si="3"/>
        <v>47493070</v>
      </c>
      <c r="D17" s="105">
        <f t="shared" si="4"/>
        <v>3322570</v>
      </c>
      <c r="E17" s="105">
        <f t="shared" si="5"/>
        <v>50815640</v>
      </c>
      <c r="F17" s="105">
        <f t="shared" ref="F17:G17" si="10">SUM(F18:F19)</f>
        <v>-44182857</v>
      </c>
      <c r="G17" s="105">
        <f t="shared" si="10"/>
        <v>-7701890</v>
      </c>
      <c r="H17" s="105">
        <f>SUM(H18:H19)</f>
        <v>-51884747</v>
      </c>
      <c r="I17" s="105">
        <f>SUM(I18:I19)</f>
        <v>91675927</v>
      </c>
      <c r="J17" s="105">
        <f t="shared" ref="J17" si="11">SUM(J18:J19)</f>
        <v>11024460</v>
      </c>
      <c r="K17" s="105">
        <f>SUM(K18:K19)</f>
        <v>11024460</v>
      </c>
      <c r="L17" s="105">
        <f t="shared" si="7"/>
        <v>102700387</v>
      </c>
    </row>
    <row r="18" spans="1:17" ht="31.5" customHeight="1" x14ac:dyDescent="0.25">
      <c r="A18" s="106">
        <v>208100</v>
      </c>
      <c r="B18" s="111" t="s">
        <v>363</v>
      </c>
      <c r="C18" s="105">
        <f t="shared" si="3"/>
        <v>47493070</v>
      </c>
      <c r="D18" s="105">
        <f>SUM(G18+J18)</f>
        <v>3322570</v>
      </c>
      <c r="E18" s="105">
        <f>SUM(C18:D18)</f>
        <v>50815640</v>
      </c>
      <c r="F18" s="32">
        <v>40611863</v>
      </c>
      <c r="G18" s="32">
        <v>3322570</v>
      </c>
      <c r="H18" s="105">
        <f t="shared" si="9"/>
        <v>43934433</v>
      </c>
      <c r="I18" s="32">
        <v>6881207</v>
      </c>
      <c r="J18" s="32"/>
      <c r="K18" s="32"/>
      <c r="L18" s="105">
        <f>SUM(I18:J18)</f>
        <v>6881207</v>
      </c>
    </row>
    <row r="19" spans="1:17" ht="25.5" x14ac:dyDescent="0.25">
      <c r="A19" s="106">
        <v>208400</v>
      </c>
      <c r="B19" s="111" t="s">
        <v>266</v>
      </c>
      <c r="C19" s="105">
        <f t="shared" si="3"/>
        <v>0</v>
      </c>
      <c r="D19" s="105">
        <f t="shared" si="4"/>
        <v>0</v>
      </c>
      <c r="E19" s="105">
        <f t="shared" si="5"/>
        <v>0</v>
      </c>
      <c r="F19" s="32">
        <v>-84794720</v>
      </c>
      <c r="G19" s="32">
        <v>-11024460</v>
      </c>
      <c r="H19" s="105">
        <f t="shared" si="9"/>
        <v>-95819180</v>
      </c>
      <c r="I19" s="32">
        <v>84794720</v>
      </c>
      <c r="J19" s="32">
        <v>11024460</v>
      </c>
      <c r="K19" s="32">
        <v>11024460</v>
      </c>
      <c r="L19" s="105">
        <f>SUM(I19:J19)</f>
        <v>95819180</v>
      </c>
    </row>
    <row r="20" spans="1:17" ht="18.75" x14ac:dyDescent="0.3">
      <c r="A20" s="107" t="s">
        <v>232</v>
      </c>
      <c r="B20" s="76" t="s">
        <v>142</v>
      </c>
      <c r="C20" s="105">
        <f>SUM(F20+I20)</f>
        <v>87613530</v>
      </c>
      <c r="D20" s="105">
        <f t="shared" si="4"/>
        <v>3322570</v>
      </c>
      <c r="E20" s="105">
        <f>SUM(C20:D20)</f>
        <v>90936100</v>
      </c>
      <c r="F20" s="105">
        <f>SUM(F12)</f>
        <v>-44182857</v>
      </c>
      <c r="G20" s="105">
        <f t="shared" ref="G20:K20" si="12">SUM(G12)</f>
        <v>-7701890</v>
      </c>
      <c r="H20" s="105">
        <f t="shared" si="12"/>
        <v>-51884747</v>
      </c>
      <c r="I20" s="105">
        <f t="shared" si="12"/>
        <v>131796387</v>
      </c>
      <c r="J20" s="105">
        <f t="shared" si="12"/>
        <v>11024460</v>
      </c>
      <c r="K20" s="105">
        <f t="shared" si="12"/>
        <v>11024460</v>
      </c>
      <c r="L20" s="105">
        <f t="shared" si="7"/>
        <v>142820847</v>
      </c>
      <c r="Q20" s="27"/>
    </row>
    <row r="21" spans="1:17" x14ac:dyDescent="0.25">
      <c r="A21" s="102" t="s">
        <v>267</v>
      </c>
      <c r="B21" s="102"/>
      <c r="C21" s="105"/>
      <c r="D21" s="105"/>
      <c r="E21" s="105"/>
      <c r="F21" s="102"/>
      <c r="G21" s="102"/>
      <c r="H21" s="105"/>
      <c r="I21" s="102"/>
      <c r="J21" s="102"/>
      <c r="K21" s="102"/>
      <c r="L21" s="105"/>
    </row>
    <row r="22" spans="1:17" x14ac:dyDescent="0.25">
      <c r="A22" s="34">
        <v>400000</v>
      </c>
      <c r="B22" s="18" t="s">
        <v>268</v>
      </c>
      <c r="C22" s="105">
        <f>SUM(F22+I22)</f>
        <v>40120460</v>
      </c>
      <c r="D22" s="105">
        <f t="shared" si="4"/>
        <v>0</v>
      </c>
      <c r="E22" s="105">
        <f t="shared" si="5"/>
        <v>40120460</v>
      </c>
      <c r="F22" s="13">
        <f>SUM(F23+F26)</f>
        <v>0</v>
      </c>
      <c r="G22" s="13">
        <f>SUM(G23+G26)</f>
        <v>0</v>
      </c>
      <c r="H22" s="13">
        <f t="shared" ref="H22:K22" si="13">SUM(H23+H26)</f>
        <v>0</v>
      </c>
      <c r="I22" s="13">
        <f>SUM(I23+I26)</f>
        <v>40120460</v>
      </c>
      <c r="J22" s="13">
        <f t="shared" si="13"/>
        <v>0</v>
      </c>
      <c r="K22" s="13">
        <f t="shared" si="13"/>
        <v>0</v>
      </c>
      <c r="L22" s="105">
        <f>SUM(I22:J22)</f>
        <v>40120460</v>
      </c>
    </row>
    <row r="23" spans="1:17" x14ac:dyDescent="0.25">
      <c r="A23" s="34">
        <v>401000</v>
      </c>
      <c r="B23" s="12" t="s">
        <v>269</v>
      </c>
      <c r="C23" s="105">
        <f t="shared" si="3"/>
        <v>40140000</v>
      </c>
      <c r="D23" s="105">
        <f t="shared" si="4"/>
        <v>0</v>
      </c>
      <c r="E23" s="105">
        <f t="shared" si="5"/>
        <v>40140000</v>
      </c>
      <c r="F23" s="13">
        <f t="shared" ref="F23:H23" si="14">SUM(F24)</f>
        <v>0</v>
      </c>
      <c r="G23" s="13">
        <f t="shared" si="14"/>
        <v>0</v>
      </c>
      <c r="H23" s="13">
        <f t="shared" si="14"/>
        <v>0</v>
      </c>
      <c r="I23" s="13">
        <f>SUM(I24)</f>
        <v>40140000</v>
      </c>
      <c r="J23" s="13">
        <f t="shared" ref="J23:K23" si="15">SUM(J24)</f>
        <v>0</v>
      </c>
      <c r="K23" s="13">
        <f t="shared" si="15"/>
        <v>0</v>
      </c>
      <c r="L23" s="105">
        <f t="shared" si="7"/>
        <v>40140000</v>
      </c>
    </row>
    <row r="24" spans="1:17" x14ac:dyDescent="0.25">
      <c r="A24" s="15">
        <v>401100</v>
      </c>
      <c r="B24" s="16" t="s">
        <v>270</v>
      </c>
      <c r="C24" s="105">
        <f t="shared" si="3"/>
        <v>40140000</v>
      </c>
      <c r="D24" s="105">
        <f t="shared" si="4"/>
        <v>0</v>
      </c>
      <c r="E24" s="105">
        <f t="shared" si="5"/>
        <v>40140000</v>
      </c>
      <c r="F24" s="19">
        <f t="shared" ref="F24:H24" si="16">SUM(F25)</f>
        <v>0</v>
      </c>
      <c r="G24" s="19">
        <f t="shared" si="16"/>
        <v>0</v>
      </c>
      <c r="H24" s="13">
        <f t="shared" si="16"/>
        <v>0</v>
      </c>
      <c r="I24" s="19">
        <f>SUM(I25)</f>
        <v>40140000</v>
      </c>
      <c r="J24" s="19">
        <f t="shared" ref="J24:K24" si="17">SUM(J25)</f>
        <v>0</v>
      </c>
      <c r="K24" s="19">
        <f t="shared" si="17"/>
        <v>0</v>
      </c>
      <c r="L24" s="105">
        <f t="shared" si="7"/>
        <v>40140000</v>
      </c>
    </row>
    <row r="25" spans="1:17" x14ac:dyDescent="0.25">
      <c r="A25" s="15">
        <v>401101</v>
      </c>
      <c r="B25" s="16" t="s">
        <v>271</v>
      </c>
      <c r="C25" s="105">
        <f t="shared" si="3"/>
        <v>40140000</v>
      </c>
      <c r="D25" s="105">
        <f t="shared" si="4"/>
        <v>0</v>
      </c>
      <c r="E25" s="105">
        <f t="shared" si="5"/>
        <v>40140000</v>
      </c>
      <c r="F25" s="19">
        <v>0</v>
      </c>
      <c r="G25" s="19"/>
      <c r="H25" s="105">
        <f t="shared" si="9"/>
        <v>0</v>
      </c>
      <c r="I25" s="19">
        <v>40140000</v>
      </c>
      <c r="J25" s="19"/>
      <c r="K25" s="19"/>
      <c r="L25" s="105">
        <f t="shared" si="7"/>
        <v>40140000</v>
      </c>
    </row>
    <row r="26" spans="1:17" x14ac:dyDescent="0.25">
      <c r="A26" s="34">
        <v>402000</v>
      </c>
      <c r="B26" s="12" t="s">
        <v>272</v>
      </c>
      <c r="C26" s="105">
        <f t="shared" si="3"/>
        <v>-19540</v>
      </c>
      <c r="D26" s="105">
        <f t="shared" si="4"/>
        <v>0</v>
      </c>
      <c r="E26" s="105">
        <f t="shared" si="5"/>
        <v>-19540</v>
      </c>
      <c r="F26" s="13">
        <f t="shared" ref="F26:H26" si="18">SUM(F27)</f>
        <v>0</v>
      </c>
      <c r="G26" s="13">
        <f t="shared" si="18"/>
        <v>0</v>
      </c>
      <c r="H26" s="13">
        <f t="shared" si="18"/>
        <v>0</v>
      </c>
      <c r="I26" s="13">
        <f>SUM(I27)</f>
        <v>-19540</v>
      </c>
      <c r="J26" s="13">
        <f t="shared" ref="J26:K26" si="19">SUM(J27)</f>
        <v>0</v>
      </c>
      <c r="K26" s="13">
        <f t="shared" si="19"/>
        <v>0</v>
      </c>
      <c r="L26" s="105">
        <f t="shared" si="7"/>
        <v>-19540</v>
      </c>
    </row>
    <row r="27" spans="1:17" x14ac:dyDescent="0.25">
      <c r="A27" s="15">
        <v>402100</v>
      </c>
      <c r="B27" s="16" t="s">
        <v>273</v>
      </c>
      <c r="C27" s="105">
        <f t="shared" si="3"/>
        <v>-19540</v>
      </c>
      <c r="D27" s="105">
        <f t="shared" si="4"/>
        <v>0</v>
      </c>
      <c r="E27" s="105">
        <f t="shared" si="5"/>
        <v>-19540</v>
      </c>
      <c r="F27" s="19">
        <f t="shared" ref="F27:H27" si="20">SUM(F28)</f>
        <v>0</v>
      </c>
      <c r="G27" s="19">
        <f t="shared" si="20"/>
        <v>0</v>
      </c>
      <c r="H27" s="13">
        <f t="shared" si="20"/>
        <v>0</v>
      </c>
      <c r="I27" s="19">
        <f>SUM(I28)</f>
        <v>-19540</v>
      </c>
      <c r="J27" s="19">
        <f t="shared" ref="J27:K27" si="21">SUM(J28)</f>
        <v>0</v>
      </c>
      <c r="K27" s="19">
        <f t="shared" si="21"/>
        <v>0</v>
      </c>
      <c r="L27" s="105">
        <f t="shared" si="7"/>
        <v>-19540</v>
      </c>
    </row>
    <row r="28" spans="1:17" x14ac:dyDescent="0.25">
      <c r="A28" s="15">
        <v>402101</v>
      </c>
      <c r="B28" s="16" t="s">
        <v>271</v>
      </c>
      <c r="C28" s="105">
        <f t="shared" si="3"/>
        <v>-19540</v>
      </c>
      <c r="D28" s="105">
        <f t="shared" si="4"/>
        <v>0</v>
      </c>
      <c r="E28" s="105">
        <f t="shared" si="5"/>
        <v>-19540</v>
      </c>
      <c r="F28" s="19"/>
      <c r="G28" s="19"/>
      <c r="H28" s="105">
        <f t="shared" si="9"/>
        <v>0</v>
      </c>
      <c r="I28" s="19">
        <v>-19540</v>
      </c>
      <c r="J28" s="19"/>
      <c r="K28" s="19"/>
      <c r="L28" s="105">
        <f>SUM(I28:J28)</f>
        <v>-19540</v>
      </c>
    </row>
    <row r="29" spans="1:17" x14ac:dyDescent="0.25">
      <c r="A29" s="103">
        <v>600000</v>
      </c>
      <c r="B29" s="110" t="s">
        <v>143</v>
      </c>
      <c r="C29" s="105">
        <f t="shared" si="3"/>
        <v>47493070</v>
      </c>
      <c r="D29" s="105">
        <f t="shared" si="4"/>
        <v>3322570</v>
      </c>
      <c r="E29" s="105">
        <f t="shared" si="5"/>
        <v>50815640</v>
      </c>
      <c r="F29" s="105">
        <f>SUM(F30)</f>
        <v>-44182857</v>
      </c>
      <c r="G29" s="105">
        <f t="shared" ref="G29:K29" si="22">SUM(G30)</f>
        <v>-7701890</v>
      </c>
      <c r="H29" s="105">
        <f>SUM(H30)</f>
        <v>-51884747</v>
      </c>
      <c r="I29" s="105">
        <f t="shared" si="22"/>
        <v>91675927</v>
      </c>
      <c r="J29" s="105">
        <f t="shared" si="22"/>
        <v>11024460</v>
      </c>
      <c r="K29" s="105">
        <f t="shared" si="22"/>
        <v>11024460</v>
      </c>
      <c r="L29" s="105">
        <f>SUM(I29:J29)</f>
        <v>102700387</v>
      </c>
    </row>
    <row r="30" spans="1:17" x14ac:dyDescent="0.25">
      <c r="A30" s="106">
        <v>602000</v>
      </c>
      <c r="B30" s="111" t="s">
        <v>274</v>
      </c>
      <c r="C30" s="105">
        <f t="shared" si="3"/>
        <v>47493070</v>
      </c>
      <c r="D30" s="105">
        <f t="shared" si="4"/>
        <v>3322570</v>
      </c>
      <c r="E30" s="105">
        <f t="shared" si="5"/>
        <v>50815640</v>
      </c>
      <c r="F30" s="32">
        <f>SUM(F31:F32)</f>
        <v>-44182857</v>
      </c>
      <c r="G30" s="32">
        <f t="shared" ref="G30:K30" si="23">SUM(G31:G32)</f>
        <v>-7701890</v>
      </c>
      <c r="H30" s="105">
        <f>SUM(H31:H32)</f>
        <v>-51884747</v>
      </c>
      <c r="I30" s="32">
        <f t="shared" si="23"/>
        <v>91675927</v>
      </c>
      <c r="J30" s="32">
        <f t="shared" si="23"/>
        <v>11024460</v>
      </c>
      <c r="K30" s="32">
        <f t="shared" si="23"/>
        <v>11024460</v>
      </c>
      <c r="L30" s="105">
        <f t="shared" ref="L30:L32" si="24">SUM(I30:J30)</f>
        <v>102700387</v>
      </c>
    </row>
    <row r="31" spans="1:17" x14ac:dyDescent="0.25">
      <c r="A31" s="106">
        <v>602100</v>
      </c>
      <c r="B31" s="111" t="s">
        <v>363</v>
      </c>
      <c r="C31" s="105">
        <f t="shared" si="3"/>
        <v>47493070</v>
      </c>
      <c r="D31" s="105">
        <f t="shared" si="4"/>
        <v>3322570</v>
      </c>
      <c r="E31" s="105">
        <f t="shared" si="5"/>
        <v>50815640</v>
      </c>
      <c r="F31" s="32">
        <v>40611863</v>
      </c>
      <c r="G31" s="32">
        <v>3322570</v>
      </c>
      <c r="H31" s="105">
        <f>SUM(F31:G31)</f>
        <v>43934433</v>
      </c>
      <c r="I31" s="32">
        <v>6881207</v>
      </c>
      <c r="J31" s="32"/>
      <c r="K31" s="32"/>
      <c r="L31" s="105">
        <f t="shared" si="24"/>
        <v>6881207</v>
      </c>
    </row>
    <row r="32" spans="1:17" ht="25.5" x14ac:dyDescent="0.25">
      <c r="A32" s="106">
        <v>602400</v>
      </c>
      <c r="B32" s="111" t="s">
        <v>266</v>
      </c>
      <c r="C32" s="105">
        <f t="shared" si="3"/>
        <v>0</v>
      </c>
      <c r="D32" s="105">
        <f t="shared" si="4"/>
        <v>0</v>
      </c>
      <c r="E32" s="105">
        <f t="shared" si="5"/>
        <v>0</v>
      </c>
      <c r="F32" s="32">
        <v>-84794720</v>
      </c>
      <c r="G32" s="32">
        <v>-11024460</v>
      </c>
      <c r="H32" s="105">
        <f>SUM(F32:G32)</f>
        <v>-95819180</v>
      </c>
      <c r="I32" s="32">
        <v>84794720</v>
      </c>
      <c r="J32" s="32">
        <v>11024460</v>
      </c>
      <c r="K32" s="32">
        <v>11024460</v>
      </c>
      <c r="L32" s="105">
        <f t="shared" si="24"/>
        <v>95819180</v>
      </c>
    </row>
    <row r="33" spans="1:17" x14ac:dyDescent="0.25">
      <c r="A33" s="107" t="s">
        <v>232</v>
      </c>
      <c r="B33" s="76" t="s">
        <v>142</v>
      </c>
      <c r="C33" s="105">
        <f>SUM(F33+I33)</f>
        <v>87613530</v>
      </c>
      <c r="D33" s="105">
        <f t="shared" si="4"/>
        <v>3322570</v>
      </c>
      <c r="E33" s="105">
        <f>SUM(C33:D33)</f>
        <v>90936100</v>
      </c>
      <c r="F33" s="105">
        <f>SUM(F22+F29)</f>
        <v>-44182857</v>
      </c>
      <c r="G33" s="105">
        <f t="shared" ref="G33:K33" si="25">SUM(G22+G29)</f>
        <v>-7701890</v>
      </c>
      <c r="H33" s="105">
        <f>SUM(H22+H29)</f>
        <v>-51884747</v>
      </c>
      <c r="I33" s="105">
        <f t="shared" si="25"/>
        <v>131796387</v>
      </c>
      <c r="J33" s="105">
        <f t="shared" si="25"/>
        <v>11024460</v>
      </c>
      <c r="K33" s="105">
        <f t="shared" si="25"/>
        <v>11024460</v>
      </c>
      <c r="L33" s="105">
        <f>SUM(I33:J33)</f>
        <v>142820847</v>
      </c>
    </row>
    <row r="35" spans="1:17" ht="18.75" x14ac:dyDescent="0.3">
      <c r="B35" s="27" t="s">
        <v>230</v>
      </c>
      <c r="I35" s="27" t="s">
        <v>231</v>
      </c>
      <c r="J35" s="27"/>
      <c r="K35" s="27"/>
      <c r="L35" s="35"/>
      <c r="Q35" s="27"/>
    </row>
    <row r="36" spans="1:17" ht="14.45" x14ac:dyDescent="0.3">
      <c r="C36" s="35"/>
      <c r="D36" s="35"/>
      <c r="E36" s="35"/>
      <c r="F36" s="35"/>
      <c r="G36" s="35"/>
      <c r="H36" s="35"/>
    </row>
    <row r="39" spans="1:17" ht="14.45" x14ac:dyDescent="0.3">
      <c r="I39" s="35"/>
      <c r="J39" s="35"/>
      <c r="K39" s="35"/>
    </row>
  </sheetData>
  <mergeCells count="17">
    <mergeCell ref="L8:L9"/>
    <mergeCell ref="A3:L3"/>
    <mergeCell ref="A4:L4"/>
    <mergeCell ref="A5:L5"/>
    <mergeCell ref="A7:A9"/>
    <mergeCell ref="B7:B9"/>
    <mergeCell ref="I7:L7"/>
    <mergeCell ref="C7:E7"/>
    <mergeCell ref="C8:C9"/>
    <mergeCell ref="D8:D9"/>
    <mergeCell ref="E8:E9"/>
    <mergeCell ref="F7:H7"/>
    <mergeCell ref="F8:F9"/>
    <mergeCell ref="G8:G9"/>
    <mergeCell ref="H8:H9"/>
    <mergeCell ref="I8:I9"/>
    <mergeCell ref="J8:K8"/>
  </mergeCells>
  <pageMargins left="0.70866141732283472" right="0.31496062992125984" top="0.55118110236220474" bottom="0.35433070866141736" header="0.11811023622047245" footer="0.11811023622047245"/>
  <pageSetup paperSize="9"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8"/>
  <sheetViews>
    <sheetView zoomScaleNormal="100" workbookViewId="0"/>
  </sheetViews>
  <sheetFormatPr defaultRowHeight="15" x14ac:dyDescent="0.25"/>
  <cols>
    <col min="1" max="1" width="9.28515625" bestFit="1" customWidth="1"/>
    <col min="2" max="3" width="8.42578125" customWidth="1"/>
    <col min="4" max="4" width="34.28515625" customWidth="1"/>
    <col min="5" max="5" width="12.7109375" customWidth="1"/>
    <col min="6" max="6" width="13" customWidth="1"/>
    <col min="7" max="7" width="11.85546875" customWidth="1"/>
    <col min="8" max="8" width="10.5703125" customWidth="1"/>
    <col min="9" max="9" width="12.7109375" customWidth="1"/>
    <col min="10" max="10" width="11.5703125" customWidth="1"/>
    <col min="11" max="11" width="11.85546875" customWidth="1"/>
    <col min="12" max="12" width="10" bestFit="1" customWidth="1"/>
    <col min="13" max="13" width="11.5703125" customWidth="1"/>
    <col min="14" max="14" width="11" customWidth="1"/>
    <col min="15" max="15" width="12" customWidth="1"/>
    <col min="16" max="16" width="11.85546875" customWidth="1"/>
    <col min="19" max="19" width="16" customWidth="1"/>
    <col min="20" max="20" width="18.5703125" customWidth="1"/>
  </cols>
  <sheetData>
    <row r="1" spans="1:16" ht="18.75" x14ac:dyDescent="0.25">
      <c r="A1" s="22"/>
      <c r="B1" s="22"/>
      <c r="C1" s="22"/>
      <c r="D1" s="9"/>
      <c r="E1" s="22"/>
      <c r="F1" s="22"/>
      <c r="G1" s="26"/>
      <c r="H1" s="26"/>
      <c r="I1" s="26"/>
      <c r="J1" s="26"/>
      <c r="K1" s="9"/>
      <c r="L1" s="26"/>
      <c r="M1" s="9" t="s">
        <v>470</v>
      </c>
      <c r="N1" s="26"/>
      <c r="O1" s="26"/>
      <c r="P1" s="26"/>
    </row>
    <row r="2" spans="1:16" ht="18.75" x14ac:dyDescent="0.25">
      <c r="A2" s="22"/>
      <c r="B2" s="22"/>
      <c r="C2" s="22"/>
      <c r="D2" s="10"/>
      <c r="E2" s="22"/>
      <c r="F2" s="22"/>
      <c r="G2" s="26"/>
      <c r="H2" s="26"/>
      <c r="I2" s="26"/>
      <c r="J2" s="26"/>
      <c r="K2" s="10"/>
      <c r="L2" s="26"/>
      <c r="M2" s="10" t="s">
        <v>494</v>
      </c>
      <c r="N2" s="26"/>
      <c r="O2" s="26"/>
      <c r="P2" s="26"/>
    </row>
    <row r="3" spans="1:16" ht="18.75" x14ac:dyDescent="0.25">
      <c r="A3" s="255" t="s">
        <v>345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</row>
    <row r="4" spans="1:16" ht="15.75" x14ac:dyDescent="0.25">
      <c r="A4" s="25" t="s">
        <v>333</v>
      </c>
      <c r="B4" s="26"/>
      <c r="C4" s="26"/>
      <c r="D4" s="26"/>
      <c r="E4" s="26"/>
      <c r="F4" s="26"/>
      <c r="G4" s="26"/>
      <c r="H4" s="26"/>
      <c r="I4" s="26"/>
      <c r="J4" s="25"/>
      <c r="K4" s="26"/>
      <c r="L4" s="26"/>
      <c r="M4" s="26"/>
      <c r="N4" s="26"/>
      <c r="O4" s="26"/>
      <c r="P4" s="26"/>
    </row>
    <row r="5" spans="1:16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 t="s">
        <v>137</v>
      </c>
      <c r="P5" s="26"/>
    </row>
    <row r="6" spans="1:16" ht="15" customHeight="1" x14ac:dyDescent="0.25">
      <c r="A6" s="273" t="s">
        <v>144</v>
      </c>
      <c r="B6" s="273" t="s">
        <v>1</v>
      </c>
      <c r="C6" s="273" t="s">
        <v>145</v>
      </c>
      <c r="D6" s="270" t="s">
        <v>146</v>
      </c>
      <c r="E6" s="269" t="s">
        <v>7</v>
      </c>
      <c r="F6" s="269"/>
      <c r="G6" s="269"/>
      <c r="H6" s="269"/>
      <c r="I6" s="269"/>
      <c r="J6" s="269" t="s">
        <v>8</v>
      </c>
      <c r="K6" s="269"/>
      <c r="L6" s="269"/>
      <c r="M6" s="269"/>
      <c r="N6" s="269"/>
      <c r="O6" s="269"/>
      <c r="P6" s="270" t="s">
        <v>147</v>
      </c>
    </row>
    <row r="7" spans="1:16" ht="15" customHeight="1" x14ac:dyDescent="0.25">
      <c r="A7" s="274"/>
      <c r="B7" s="274"/>
      <c r="C7" s="274"/>
      <c r="D7" s="271"/>
      <c r="E7" s="269" t="s">
        <v>338</v>
      </c>
      <c r="F7" s="269" t="s">
        <v>336</v>
      </c>
      <c r="G7" s="269"/>
      <c r="H7" s="269"/>
      <c r="I7" s="269" t="s">
        <v>337</v>
      </c>
      <c r="J7" s="269" t="s">
        <v>338</v>
      </c>
      <c r="K7" s="269" t="s">
        <v>336</v>
      </c>
      <c r="L7" s="269"/>
      <c r="M7" s="269"/>
      <c r="N7" s="269"/>
      <c r="O7" s="269" t="s">
        <v>337</v>
      </c>
      <c r="P7" s="271"/>
    </row>
    <row r="8" spans="1:16" ht="12.75" customHeight="1" x14ac:dyDescent="0.25">
      <c r="A8" s="274"/>
      <c r="B8" s="274"/>
      <c r="C8" s="274"/>
      <c r="D8" s="271"/>
      <c r="E8" s="269"/>
      <c r="F8" s="269" t="s">
        <v>6</v>
      </c>
      <c r="G8" s="269" t="s">
        <v>149</v>
      </c>
      <c r="H8" s="269"/>
      <c r="I8" s="269"/>
      <c r="J8" s="269"/>
      <c r="K8" s="269" t="s">
        <v>9</v>
      </c>
      <c r="L8" s="269" t="s">
        <v>148</v>
      </c>
      <c r="M8" s="269" t="s">
        <v>150</v>
      </c>
      <c r="N8" s="143" t="s">
        <v>149</v>
      </c>
      <c r="O8" s="269"/>
      <c r="P8" s="271"/>
    </row>
    <row r="9" spans="1:16" ht="31.5" x14ac:dyDescent="0.25">
      <c r="A9" s="275"/>
      <c r="B9" s="275"/>
      <c r="C9" s="275"/>
      <c r="D9" s="272"/>
      <c r="E9" s="269"/>
      <c r="F9" s="269"/>
      <c r="G9" s="143" t="s">
        <v>151</v>
      </c>
      <c r="H9" s="143" t="s">
        <v>152</v>
      </c>
      <c r="I9" s="269"/>
      <c r="J9" s="269"/>
      <c r="K9" s="269"/>
      <c r="L9" s="269"/>
      <c r="M9" s="269"/>
      <c r="N9" s="143" t="s">
        <v>339</v>
      </c>
      <c r="O9" s="269"/>
      <c r="P9" s="272"/>
    </row>
    <row r="10" spans="1:16" ht="14.45" customHeight="1" x14ac:dyDescent="0.25">
      <c r="A10" s="144">
        <v>1</v>
      </c>
      <c r="B10" s="144">
        <v>2</v>
      </c>
      <c r="C10" s="144">
        <v>3</v>
      </c>
      <c r="D10" s="144">
        <v>4</v>
      </c>
      <c r="E10" s="144">
        <v>5</v>
      </c>
      <c r="F10" s="144">
        <v>6</v>
      </c>
      <c r="G10" s="144">
        <v>7</v>
      </c>
      <c r="H10" s="144">
        <v>8</v>
      </c>
      <c r="I10" s="144">
        <v>9</v>
      </c>
      <c r="J10" s="144">
        <v>10</v>
      </c>
      <c r="K10" s="144">
        <v>11</v>
      </c>
      <c r="L10" s="144">
        <v>12</v>
      </c>
      <c r="M10" s="144">
        <v>13</v>
      </c>
      <c r="N10" s="144">
        <v>14</v>
      </c>
      <c r="O10" s="144">
        <v>15</v>
      </c>
      <c r="P10" s="144">
        <v>16</v>
      </c>
    </row>
    <row r="11" spans="1:16" x14ac:dyDescent="0.25">
      <c r="A11" s="145" t="s">
        <v>153</v>
      </c>
      <c r="B11" s="146"/>
      <c r="C11" s="146"/>
      <c r="D11" s="147" t="s">
        <v>11</v>
      </c>
      <c r="E11" s="148">
        <f>SUM(E12:E32)</f>
        <v>135468341.13999999</v>
      </c>
      <c r="F11" s="148">
        <f>SUM(F12:F32)</f>
        <v>-7780450</v>
      </c>
      <c r="G11" s="148">
        <f>SUM(G12:G32)</f>
        <v>0</v>
      </c>
      <c r="H11" s="148">
        <f>SUM(H12:H32)</f>
        <v>0</v>
      </c>
      <c r="I11" s="148">
        <f>SUM(E11:F11)</f>
        <v>127687891.13999999</v>
      </c>
      <c r="J11" s="148">
        <f t="shared" ref="J11:O11" si="0">SUM(J12:J32)</f>
        <v>35397047</v>
      </c>
      <c r="K11" s="148">
        <f t="shared" si="0"/>
        <v>6807370</v>
      </c>
      <c r="L11" s="148">
        <f t="shared" si="0"/>
        <v>0</v>
      </c>
      <c r="M11" s="148">
        <f t="shared" si="0"/>
        <v>6807370</v>
      </c>
      <c r="N11" s="148">
        <f t="shared" si="0"/>
        <v>6807370</v>
      </c>
      <c r="O11" s="148">
        <f t="shared" si="0"/>
        <v>42204417</v>
      </c>
      <c r="P11" s="148">
        <f>SUM(I11+O11)</f>
        <v>169892308.13999999</v>
      </c>
    </row>
    <row r="12" spans="1:16" ht="56.25" x14ac:dyDescent="0.25">
      <c r="A12" s="149" t="s">
        <v>154</v>
      </c>
      <c r="B12" s="149" t="s">
        <v>155</v>
      </c>
      <c r="C12" s="149" t="s">
        <v>156</v>
      </c>
      <c r="D12" s="150" t="s">
        <v>157</v>
      </c>
      <c r="E12" s="151">
        <v>69499934</v>
      </c>
      <c r="F12" s="151"/>
      <c r="G12" s="151"/>
      <c r="H12" s="151"/>
      <c r="I12" s="148">
        <f>SUM(E12:F12)</f>
        <v>69499934</v>
      </c>
      <c r="J12" s="151">
        <v>200000</v>
      </c>
      <c r="K12" s="151"/>
      <c r="L12" s="152"/>
      <c r="M12" s="151"/>
      <c r="N12" s="151"/>
      <c r="O12" s="148">
        <f t="shared" ref="O12:O89" si="1">SUM(J12+K12)</f>
        <v>200000</v>
      </c>
      <c r="P12" s="148">
        <f t="shared" ref="P12:P89" si="2">SUM(I12+O12)</f>
        <v>69699934</v>
      </c>
    </row>
    <row r="13" spans="1:16" x14ac:dyDescent="0.25">
      <c r="A13" s="149" t="s">
        <v>158</v>
      </c>
      <c r="B13" s="149" t="s">
        <v>159</v>
      </c>
      <c r="C13" s="149" t="s">
        <v>160</v>
      </c>
      <c r="D13" s="150" t="s">
        <v>161</v>
      </c>
      <c r="E13" s="151">
        <v>1204000</v>
      </c>
      <c r="F13" s="151"/>
      <c r="G13" s="151"/>
      <c r="H13" s="151"/>
      <c r="I13" s="148">
        <f t="shared" ref="I13:I89" si="3">SUM(E13:F13)</f>
        <v>1204000</v>
      </c>
      <c r="J13" s="151">
        <v>200000</v>
      </c>
      <c r="K13" s="151"/>
      <c r="L13" s="152"/>
      <c r="M13" s="151"/>
      <c r="N13" s="151"/>
      <c r="O13" s="148">
        <f t="shared" si="1"/>
        <v>200000</v>
      </c>
      <c r="P13" s="148">
        <f t="shared" si="2"/>
        <v>1404000</v>
      </c>
    </row>
    <row r="14" spans="1:16" ht="22.5" x14ac:dyDescent="0.25">
      <c r="A14" s="149" t="s">
        <v>162</v>
      </c>
      <c r="B14" s="149">
        <v>1160</v>
      </c>
      <c r="C14" s="149" t="s">
        <v>163</v>
      </c>
      <c r="D14" s="150" t="s">
        <v>164</v>
      </c>
      <c r="E14" s="151">
        <v>3415025</v>
      </c>
      <c r="F14" s="151"/>
      <c r="G14" s="151"/>
      <c r="H14" s="151"/>
      <c r="I14" s="148">
        <f t="shared" si="3"/>
        <v>3415025</v>
      </c>
      <c r="J14" s="151">
        <v>200000</v>
      </c>
      <c r="K14" s="151"/>
      <c r="L14" s="152"/>
      <c r="M14" s="151"/>
      <c r="N14" s="151"/>
      <c r="O14" s="148">
        <f t="shared" si="1"/>
        <v>200000</v>
      </c>
      <c r="P14" s="148">
        <f t="shared" si="2"/>
        <v>3615025</v>
      </c>
    </row>
    <row r="15" spans="1:16" ht="33.75" x14ac:dyDescent="0.25">
      <c r="A15" s="153" t="s">
        <v>165</v>
      </c>
      <c r="B15" s="153">
        <v>1151</v>
      </c>
      <c r="C15" s="153" t="s">
        <v>163</v>
      </c>
      <c r="D15" s="150" t="s">
        <v>166</v>
      </c>
      <c r="E15" s="151">
        <v>751228</v>
      </c>
      <c r="F15" s="151"/>
      <c r="G15" s="151"/>
      <c r="H15" s="151"/>
      <c r="I15" s="148">
        <f t="shared" si="3"/>
        <v>751228</v>
      </c>
      <c r="J15" s="151">
        <v>300000</v>
      </c>
      <c r="K15" s="151"/>
      <c r="L15" s="152"/>
      <c r="M15" s="151"/>
      <c r="N15" s="151"/>
      <c r="O15" s="148">
        <f t="shared" si="1"/>
        <v>300000</v>
      </c>
      <c r="P15" s="148">
        <f t="shared" si="2"/>
        <v>1051228</v>
      </c>
    </row>
    <row r="16" spans="1:16" ht="33.75" x14ac:dyDescent="0.25">
      <c r="A16" s="153" t="s">
        <v>167</v>
      </c>
      <c r="B16" s="153">
        <v>1152</v>
      </c>
      <c r="C16" s="153" t="s">
        <v>163</v>
      </c>
      <c r="D16" s="150" t="s">
        <v>168</v>
      </c>
      <c r="E16" s="151">
        <v>2026900</v>
      </c>
      <c r="F16" s="151"/>
      <c r="G16" s="151"/>
      <c r="H16" s="151"/>
      <c r="I16" s="148">
        <f t="shared" si="3"/>
        <v>2026900</v>
      </c>
      <c r="J16" s="151"/>
      <c r="K16" s="151"/>
      <c r="L16" s="152"/>
      <c r="M16" s="151"/>
      <c r="N16" s="151"/>
      <c r="O16" s="148">
        <f t="shared" si="1"/>
        <v>0</v>
      </c>
      <c r="P16" s="148">
        <f t="shared" si="2"/>
        <v>2026900</v>
      </c>
    </row>
    <row r="17" spans="1:20" ht="22.5" x14ac:dyDescent="0.25">
      <c r="A17" s="153" t="s">
        <v>250</v>
      </c>
      <c r="B17" s="153" t="s">
        <v>249</v>
      </c>
      <c r="C17" s="153" t="s">
        <v>248</v>
      </c>
      <c r="D17" s="150" t="s">
        <v>247</v>
      </c>
      <c r="E17" s="151">
        <v>9207768</v>
      </c>
      <c r="F17" s="151"/>
      <c r="G17" s="151"/>
      <c r="H17" s="151"/>
      <c r="I17" s="148">
        <f t="shared" si="3"/>
        <v>9207768</v>
      </c>
      <c r="J17" s="151"/>
      <c r="K17" s="151"/>
      <c r="L17" s="152"/>
      <c r="M17" s="151"/>
      <c r="N17" s="151"/>
      <c r="O17" s="148">
        <f t="shared" si="1"/>
        <v>0</v>
      </c>
      <c r="P17" s="148">
        <f t="shared" si="2"/>
        <v>9207768</v>
      </c>
      <c r="S17" s="35"/>
    </row>
    <row r="18" spans="1:20" ht="33.75" x14ac:dyDescent="0.25">
      <c r="A18" s="153" t="s">
        <v>169</v>
      </c>
      <c r="B18" s="153">
        <v>2111</v>
      </c>
      <c r="C18" s="153" t="s">
        <v>170</v>
      </c>
      <c r="D18" s="150" t="s">
        <v>171</v>
      </c>
      <c r="E18" s="151">
        <v>1936213</v>
      </c>
      <c r="F18" s="151"/>
      <c r="G18" s="151"/>
      <c r="H18" s="151"/>
      <c r="I18" s="148">
        <f t="shared" si="3"/>
        <v>1936213</v>
      </c>
      <c r="J18" s="151"/>
      <c r="K18" s="151"/>
      <c r="L18" s="152"/>
      <c r="M18" s="151"/>
      <c r="N18" s="151"/>
      <c r="O18" s="148">
        <f t="shared" si="1"/>
        <v>0</v>
      </c>
      <c r="P18" s="148">
        <f t="shared" si="2"/>
        <v>1936213</v>
      </c>
    </row>
    <row r="19" spans="1:20" ht="22.5" x14ac:dyDescent="0.25">
      <c r="A19" s="153" t="s">
        <v>172</v>
      </c>
      <c r="B19" s="153">
        <v>2152</v>
      </c>
      <c r="C19" s="153" t="s">
        <v>173</v>
      </c>
      <c r="D19" s="150" t="s">
        <v>174</v>
      </c>
      <c r="E19" s="151">
        <v>3699000</v>
      </c>
      <c r="F19" s="151">
        <f>98000</f>
        <v>98000</v>
      </c>
      <c r="G19" s="151"/>
      <c r="H19" s="151"/>
      <c r="I19" s="148">
        <f t="shared" si="3"/>
        <v>3797000</v>
      </c>
      <c r="J19" s="151">
        <v>9188247</v>
      </c>
      <c r="K19" s="151">
        <f>302500+85000</f>
        <v>387500</v>
      </c>
      <c r="L19" s="152"/>
      <c r="M19" s="151">
        <f>302500+85000</f>
        <v>387500</v>
      </c>
      <c r="N19" s="151">
        <f>302500+85000</f>
        <v>387500</v>
      </c>
      <c r="O19" s="148">
        <f t="shared" si="1"/>
        <v>9575747</v>
      </c>
      <c r="P19" s="148">
        <f t="shared" si="2"/>
        <v>13372747</v>
      </c>
    </row>
    <row r="20" spans="1:20" ht="33.75" x14ac:dyDescent="0.25">
      <c r="A20" s="153" t="s">
        <v>175</v>
      </c>
      <c r="B20" s="153">
        <v>3033</v>
      </c>
      <c r="C20" s="153">
        <v>1070</v>
      </c>
      <c r="D20" s="150" t="s">
        <v>176</v>
      </c>
      <c r="E20" s="151">
        <v>1054027</v>
      </c>
      <c r="F20" s="151"/>
      <c r="G20" s="151"/>
      <c r="H20" s="151"/>
      <c r="I20" s="148">
        <f t="shared" si="3"/>
        <v>1054027</v>
      </c>
      <c r="J20" s="151"/>
      <c r="K20" s="151"/>
      <c r="L20" s="152"/>
      <c r="M20" s="151"/>
      <c r="N20" s="151"/>
      <c r="O20" s="148">
        <f t="shared" si="1"/>
        <v>0</v>
      </c>
      <c r="P20" s="148">
        <f t="shared" si="2"/>
        <v>1054027</v>
      </c>
    </row>
    <row r="21" spans="1:20" ht="33.75" x14ac:dyDescent="0.25">
      <c r="A21" s="153" t="s">
        <v>177</v>
      </c>
      <c r="B21" s="153">
        <v>3050</v>
      </c>
      <c r="C21" s="153">
        <v>1070</v>
      </c>
      <c r="D21" s="150" t="s">
        <v>178</v>
      </c>
      <c r="E21" s="151">
        <v>56925</v>
      </c>
      <c r="F21" s="151"/>
      <c r="G21" s="151"/>
      <c r="H21" s="151"/>
      <c r="I21" s="148">
        <f t="shared" si="3"/>
        <v>56925</v>
      </c>
      <c r="J21" s="151"/>
      <c r="K21" s="151"/>
      <c r="L21" s="152"/>
      <c r="M21" s="151"/>
      <c r="N21" s="151"/>
      <c r="O21" s="148">
        <f t="shared" si="1"/>
        <v>0</v>
      </c>
      <c r="P21" s="148">
        <f t="shared" si="2"/>
        <v>56925</v>
      </c>
    </row>
    <row r="22" spans="1:20" ht="22.5" x14ac:dyDescent="0.25">
      <c r="A22" s="153" t="s">
        <v>179</v>
      </c>
      <c r="B22" s="153">
        <v>3090</v>
      </c>
      <c r="C22" s="153">
        <v>1030</v>
      </c>
      <c r="D22" s="150" t="s">
        <v>180</v>
      </c>
      <c r="E22" s="151">
        <f>500000+13420</f>
        <v>513420</v>
      </c>
      <c r="F22" s="151"/>
      <c r="G22" s="151"/>
      <c r="H22" s="151"/>
      <c r="I22" s="148">
        <f t="shared" si="3"/>
        <v>513420</v>
      </c>
      <c r="J22" s="151"/>
      <c r="K22" s="151"/>
      <c r="L22" s="152"/>
      <c r="M22" s="151"/>
      <c r="N22" s="151"/>
      <c r="O22" s="148">
        <f t="shared" si="1"/>
        <v>0</v>
      </c>
      <c r="P22" s="148">
        <f t="shared" si="2"/>
        <v>513420</v>
      </c>
    </row>
    <row r="23" spans="1:20" ht="45" x14ac:dyDescent="0.25">
      <c r="A23" s="153" t="s">
        <v>181</v>
      </c>
      <c r="B23" s="153">
        <v>3104</v>
      </c>
      <c r="C23" s="153">
        <v>1020</v>
      </c>
      <c r="D23" s="150" t="s">
        <v>182</v>
      </c>
      <c r="E23" s="151">
        <v>7615285</v>
      </c>
      <c r="F23" s="151"/>
      <c r="G23" s="151"/>
      <c r="H23" s="151"/>
      <c r="I23" s="148">
        <f t="shared" si="3"/>
        <v>7615285</v>
      </c>
      <c r="J23" s="151">
        <v>1208200</v>
      </c>
      <c r="K23" s="151"/>
      <c r="L23" s="152"/>
      <c r="M23" s="151"/>
      <c r="N23" s="151"/>
      <c r="O23" s="148">
        <f t="shared" si="1"/>
        <v>1208200</v>
      </c>
      <c r="P23" s="148">
        <f t="shared" si="2"/>
        <v>8823485</v>
      </c>
    </row>
    <row r="24" spans="1:20" ht="67.5" x14ac:dyDescent="0.25">
      <c r="A24" s="153" t="s">
        <v>183</v>
      </c>
      <c r="B24" s="153">
        <v>3160</v>
      </c>
      <c r="C24" s="153">
        <v>1010</v>
      </c>
      <c r="D24" s="150" t="s">
        <v>184</v>
      </c>
      <c r="E24" s="151">
        <v>3000000</v>
      </c>
      <c r="F24" s="151"/>
      <c r="G24" s="151"/>
      <c r="H24" s="151"/>
      <c r="I24" s="148">
        <f t="shared" si="3"/>
        <v>3000000</v>
      </c>
      <c r="J24" s="151"/>
      <c r="K24" s="151"/>
      <c r="L24" s="152"/>
      <c r="M24" s="151"/>
      <c r="N24" s="151"/>
      <c r="O24" s="148">
        <f t="shared" si="1"/>
        <v>0</v>
      </c>
      <c r="P24" s="148">
        <f t="shared" si="2"/>
        <v>3000000</v>
      </c>
    </row>
    <row r="25" spans="1:20" ht="56.25" x14ac:dyDescent="0.25">
      <c r="A25" s="119">
        <v>113193</v>
      </c>
      <c r="B25" s="120">
        <v>3193</v>
      </c>
      <c r="C25" s="120">
        <v>1030</v>
      </c>
      <c r="D25" s="121" t="s">
        <v>381</v>
      </c>
      <c r="E25" s="151">
        <v>243798.09</v>
      </c>
      <c r="F25" s="151"/>
      <c r="G25" s="151"/>
      <c r="H25" s="151"/>
      <c r="I25" s="148">
        <f t="shared" si="3"/>
        <v>243798.09</v>
      </c>
      <c r="J25" s="151"/>
      <c r="K25" s="151"/>
      <c r="L25" s="152"/>
      <c r="M25" s="151"/>
      <c r="N25" s="151"/>
      <c r="O25" s="148"/>
      <c r="P25" s="148">
        <f t="shared" si="2"/>
        <v>243798.09</v>
      </c>
      <c r="T25" s="35"/>
    </row>
    <row r="26" spans="1:20" ht="22.5" x14ac:dyDescent="0.25">
      <c r="A26" s="153" t="s">
        <v>29</v>
      </c>
      <c r="B26" s="153">
        <v>3242</v>
      </c>
      <c r="C26" s="153" t="s">
        <v>185</v>
      </c>
      <c r="D26" s="150" t="s">
        <v>12</v>
      </c>
      <c r="E26" s="151">
        <v>12184000</v>
      </c>
      <c r="F26" s="151"/>
      <c r="G26" s="151"/>
      <c r="H26" s="151"/>
      <c r="I26" s="148">
        <f t="shared" si="3"/>
        <v>12184000</v>
      </c>
      <c r="J26" s="151"/>
      <c r="K26" s="151"/>
      <c r="L26" s="152"/>
      <c r="M26" s="151"/>
      <c r="N26" s="151"/>
      <c r="O26" s="148">
        <f t="shared" si="1"/>
        <v>0</v>
      </c>
      <c r="P26" s="148">
        <f t="shared" si="2"/>
        <v>12184000</v>
      </c>
    </row>
    <row r="27" spans="1:20" ht="22.5" x14ac:dyDescent="0.25">
      <c r="A27" s="153" t="s">
        <v>251</v>
      </c>
      <c r="B27" s="153" t="s">
        <v>254</v>
      </c>
      <c r="C27" s="153" t="s">
        <v>255</v>
      </c>
      <c r="D27" s="150" t="s">
        <v>253</v>
      </c>
      <c r="E27" s="151">
        <v>204000</v>
      </c>
      <c r="F27" s="151"/>
      <c r="G27" s="151"/>
      <c r="H27" s="151"/>
      <c r="I27" s="148">
        <f t="shared" si="3"/>
        <v>204000</v>
      </c>
      <c r="J27" s="151">
        <v>600000</v>
      </c>
      <c r="K27" s="151"/>
      <c r="L27" s="152"/>
      <c r="M27" s="151"/>
      <c r="N27" s="151"/>
      <c r="O27" s="148">
        <f t="shared" si="1"/>
        <v>600000</v>
      </c>
      <c r="P27" s="148">
        <f t="shared" si="2"/>
        <v>804000</v>
      </c>
    </row>
    <row r="28" spans="1:20" ht="22.5" x14ac:dyDescent="0.25">
      <c r="A28" s="153" t="s">
        <v>30</v>
      </c>
      <c r="B28" s="153">
        <v>7370</v>
      </c>
      <c r="C28" s="153" t="s">
        <v>186</v>
      </c>
      <c r="D28" s="150" t="s">
        <v>15</v>
      </c>
      <c r="E28" s="151">
        <v>15492074</v>
      </c>
      <c r="F28" s="151">
        <f>-4287018-3651432</f>
        <v>-7938450</v>
      </c>
      <c r="G28" s="151"/>
      <c r="H28" s="151"/>
      <c r="I28" s="148">
        <f t="shared" si="3"/>
        <v>7553624</v>
      </c>
      <c r="J28" s="151">
        <v>16790600</v>
      </c>
      <c r="K28" s="151">
        <f>4214870+70000+110000</f>
        <v>4394870</v>
      </c>
      <c r="L28" s="152"/>
      <c r="M28" s="151">
        <f>4214870+70000+110000</f>
        <v>4394870</v>
      </c>
      <c r="N28" s="151">
        <f>4214870+70000+110000</f>
        <v>4394870</v>
      </c>
      <c r="O28" s="148">
        <f t="shared" si="1"/>
        <v>21185470</v>
      </c>
      <c r="P28" s="148">
        <f t="shared" si="2"/>
        <v>28739094</v>
      </c>
    </row>
    <row r="29" spans="1:20" x14ac:dyDescent="0.25">
      <c r="A29" s="153" t="s">
        <v>252</v>
      </c>
      <c r="B29" s="153" t="s">
        <v>258</v>
      </c>
      <c r="C29" s="153" t="s">
        <v>257</v>
      </c>
      <c r="D29" s="150" t="s">
        <v>256</v>
      </c>
      <c r="E29" s="151">
        <v>236000</v>
      </c>
      <c r="F29" s="151"/>
      <c r="G29" s="151"/>
      <c r="H29" s="151"/>
      <c r="I29" s="148">
        <f t="shared" si="3"/>
        <v>236000</v>
      </c>
      <c r="J29" s="151">
        <v>580000</v>
      </c>
      <c r="K29" s="151"/>
      <c r="L29" s="152"/>
      <c r="M29" s="151"/>
      <c r="N29" s="151"/>
      <c r="O29" s="148">
        <f t="shared" si="1"/>
        <v>580000</v>
      </c>
      <c r="P29" s="148">
        <f t="shared" si="2"/>
        <v>816000</v>
      </c>
    </row>
    <row r="30" spans="1:20" ht="22.5" x14ac:dyDescent="0.25">
      <c r="A30" s="153" t="s">
        <v>187</v>
      </c>
      <c r="B30" s="153">
        <v>7693</v>
      </c>
      <c r="C30" s="153" t="s">
        <v>186</v>
      </c>
      <c r="D30" s="154" t="s">
        <v>188</v>
      </c>
      <c r="E30" s="151">
        <v>1078744.05</v>
      </c>
      <c r="F30" s="151"/>
      <c r="G30" s="151"/>
      <c r="H30" s="151"/>
      <c r="I30" s="148">
        <f t="shared" si="3"/>
        <v>1078744.05</v>
      </c>
      <c r="J30" s="151"/>
      <c r="K30" s="151"/>
      <c r="L30" s="152"/>
      <c r="M30" s="151"/>
      <c r="N30" s="151"/>
      <c r="O30" s="148">
        <f t="shared" si="1"/>
        <v>0</v>
      </c>
      <c r="P30" s="148">
        <f t="shared" si="2"/>
        <v>1078744.05</v>
      </c>
    </row>
    <row r="31" spans="1:20" ht="33.75" x14ac:dyDescent="0.25">
      <c r="A31" s="153" t="s">
        <v>397</v>
      </c>
      <c r="B31" s="153" t="s">
        <v>395</v>
      </c>
      <c r="C31" s="153" t="s">
        <v>396</v>
      </c>
      <c r="D31" s="154" t="s">
        <v>392</v>
      </c>
      <c r="E31" s="151">
        <v>300000</v>
      </c>
      <c r="F31" s="151"/>
      <c r="G31" s="151"/>
      <c r="H31" s="151"/>
      <c r="I31" s="148">
        <f t="shared" si="3"/>
        <v>300000</v>
      </c>
      <c r="J31" s="151"/>
      <c r="K31" s="151"/>
      <c r="L31" s="152"/>
      <c r="M31" s="151"/>
      <c r="N31" s="151"/>
      <c r="O31" s="148">
        <f t="shared" si="1"/>
        <v>0</v>
      </c>
      <c r="P31" s="148">
        <f t="shared" si="2"/>
        <v>300000</v>
      </c>
    </row>
    <row r="32" spans="1:20" ht="33.75" x14ac:dyDescent="0.25">
      <c r="A32" s="119">
        <v>119800</v>
      </c>
      <c r="B32" s="120">
        <v>9800</v>
      </c>
      <c r="C32" s="125">
        <v>180</v>
      </c>
      <c r="D32" s="121" t="s">
        <v>393</v>
      </c>
      <c r="E32" s="151">
        <v>1750000</v>
      </c>
      <c r="F32" s="151">
        <v>60000</v>
      </c>
      <c r="G32" s="151"/>
      <c r="H32" s="151"/>
      <c r="I32" s="148">
        <f t="shared" si="3"/>
        <v>1810000</v>
      </c>
      <c r="J32" s="151">
        <v>6130000</v>
      </c>
      <c r="K32" s="151">
        <f>1460000+565000</f>
        <v>2025000</v>
      </c>
      <c r="L32" s="152"/>
      <c r="M32" s="151">
        <f>1460000+565000</f>
        <v>2025000</v>
      </c>
      <c r="N32" s="151">
        <f>1460000+565000</f>
        <v>2025000</v>
      </c>
      <c r="O32" s="148">
        <f t="shared" si="1"/>
        <v>8155000</v>
      </c>
      <c r="P32" s="148">
        <f t="shared" si="2"/>
        <v>9965000</v>
      </c>
    </row>
    <row r="33" spans="1:19" x14ac:dyDescent="0.25">
      <c r="A33" s="145" t="s">
        <v>189</v>
      </c>
      <c r="B33" s="146"/>
      <c r="C33" s="146"/>
      <c r="D33" s="147" t="s">
        <v>21</v>
      </c>
      <c r="E33" s="155">
        <f>SUM(E34:E48)</f>
        <v>338973662</v>
      </c>
      <c r="F33" s="155">
        <f>SUM(F34:F48)</f>
        <v>3706000</v>
      </c>
      <c r="G33" s="155">
        <f t="shared" ref="G33:O33" si="4">SUM(G34:G48)</f>
        <v>3120000</v>
      </c>
      <c r="H33" s="155">
        <f t="shared" si="4"/>
        <v>0</v>
      </c>
      <c r="I33" s="155">
        <f t="shared" si="4"/>
        <v>342679662</v>
      </c>
      <c r="J33" s="155">
        <f t="shared" si="4"/>
        <v>26297680</v>
      </c>
      <c r="K33" s="155">
        <f t="shared" si="4"/>
        <v>768570</v>
      </c>
      <c r="L33" s="155">
        <f t="shared" si="4"/>
        <v>0</v>
      </c>
      <c r="M33" s="155">
        <f t="shared" si="4"/>
        <v>768570</v>
      </c>
      <c r="N33" s="155">
        <f t="shared" si="4"/>
        <v>768570</v>
      </c>
      <c r="O33" s="155">
        <f t="shared" si="4"/>
        <v>27066250</v>
      </c>
      <c r="P33" s="148">
        <f t="shared" si="2"/>
        <v>369745912</v>
      </c>
    </row>
    <row r="34" spans="1:19" ht="33.75" x14ac:dyDescent="0.25">
      <c r="A34" s="153" t="s">
        <v>190</v>
      </c>
      <c r="B34" s="153" t="s">
        <v>191</v>
      </c>
      <c r="C34" s="153" t="s">
        <v>156</v>
      </c>
      <c r="D34" s="150" t="s">
        <v>192</v>
      </c>
      <c r="E34" s="151">
        <v>3404391</v>
      </c>
      <c r="F34" s="151"/>
      <c r="G34" s="151"/>
      <c r="H34" s="151"/>
      <c r="I34" s="148">
        <f t="shared" si="3"/>
        <v>3404391</v>
      </c>
      <c r="J34" s="151"/>
      <c r="K34" s="151"/>
      <c r="L34" s="152"/>
      <c r="M34" s="151"/>
      <c r="N34" s="151"/>
      <c r="O34" s="148">
        <f t="shared" si="1"/>
        <v>0</v>
      </c>
      <c r="P34" s="148">
        <f t="shared" si="2"/>
        <v>3404391</v>
      </c>
    </row>
    <row r="35" spans="1:19" x14ac:dyDescent="0.25">
      <c r="A35" s="153" t="s">
        <v>193</v>
      </c>
      <c r="B35" s="153">
        <v>1010</v>
      </c>
      <c r="C35" s="153" t="s">
        <v>194</v>
      </c>
      <c r="D35" s="150" t="s">
        <v>195</v>
      </c>
      <c r="E35" s="151">
        <v>66606461</v>
      </c>
      <c r="F35" s="151">
        <f>70000</f>
        <v>70000</v>
      </c>
      <c r="G35" s="151"/>
      <c r="H35" s="151"/>
      <c r="I35" s="148">
        <f t="shared" si="3"/>
        <v>66676461</v>
      </c>
      <c r="J35" s="152">
        <v>3693000</v>
      </c>
      <c r="K35" s="151"/>
      <c r="L35" s="152"/>
      <c r="M35" s="151"/>
      <c r="N35" s="151"/>
      <c r="O35" s="148">
        <f t="shared" si="1"/>
        <v>3693000</v>
      </c>
      <c r="P35" s="148">
        <f t="shared" si="2"/>
        <v>70369461</v>
      </c>
    </row>
    <row r="36" spans="1:19" ht="33.75" x14ac:dyDescent="0.25">
      <c r="A36" s="153" t="s">
        <v>196</v>
      </c>
      <c r="B36" s="153">
        <v>1021</v>
      </c>
      <c r="C36" s="153" t="s">
        <v>197</v>
      </c>
      <c r="D36" s="150" t="s">
        <v>234</v>
      </c>
      <c r="E36" s="156">
        <v>112254454</v>
      </c>
      <c r="F36" s="156">
        <f>275000+3200000+15000+126000</f>
        <v>3616000</v>
      </c>
      <c r="G36" s="151">
        <f>3120000</f>
        <v>3120000</v>
      </c>
      <c r="H36" s="151"/>
      <c r="I36" s="148">
        <f>SUM(E36:F36)</f>
        <v>115870454</v>
      </c>
      <c r="J36" s="152">
        <v>9259100</v>
      </c>
      <c r="K36" s="152">
        <f>480000-15000+50000</f>
        <v>515000</v>
      </c>
      <c r="L36" s="152"/>
      <c r="M36" s="152">
        <f>480000-15000+50000</f>
        <v>515000</v>
      </c>
      <c r="N36" s="152">
        <f>480000-15000+50000</f>
        <v>515000</v>
      </c>
      <c r="O36" s="148">
        <f>SUM(J36+K36)</f>
        <v>9774100</v>
      </c>
      <c r="P36" s="148">
        <f>SUM(I36+O36)</f>
        <v>125644554</v>
      </c>
    </row>
    <row r="37" spans="1:19" ht="33.75" x14ac:dyDescent="0.25">
      <c r="A37" s="153" t="s">
        <v>198</v>
      </c>
      <c r="B37" s="153" t="s">
        <v>199</v>
      </c>
      <c r="C37" s="157">
        <v>921</v>
      </c>
      <c r="D37" s="154" t="s">
        <v>200</v>
      </c>
      <c r="E37" s="156">
        <v>6515639</v>
      </c>
      <c r="F37" s="156"/>
      <c r="G37" s="151"/>
      <c r="H37" s="151"/>
      <c r="I37" s="148">
        <f t="shared" si="3"/>
        <v>6515639</v>
      </c>
      <c r="J37" s="151">
        <f>100000+140300</f>
        <v>240300</v>
      </c>
      <c r="K37" s="151"/>
      <c r="L37" s="152"/>
      <c r="M37" s="151"/>
      <c r="N37" s="151"/>
      <c r="O37" s="148">
        <f t="shared" si="1"/>
        <v>240300</v>
      </c>
      <c r="P37" s="148">
        <f t="shared" si="2"/>
        <v>6755939</v>
      </c>
    </row>
    <row r="38" spans="1:19" ht="33.75" x14ac:dyDescent="0.25">
      <c r="A38" s="153" t="s">
        <v>201</v>
      </c>
      <c r="B38" s="158">
        <v>1031</v>
      </c>
      <c r="C38" s="158">
        <v>921</v>
      </c>
      <c r="D38" s="150" t="s">
        <v>365</v>
      </c>
      <c r="E38" s="156">
        <v>129546700</v>
      </c>
      <c r="F38" s="156"/>
      <c r="G38" s="151"/>
      <c r="H38" s="151"/>
      <c r="I38" s="148">
        <f t="shared" si="3"/>
        <v>129546700</v>
      </c>
      <c r="J38" s="151"/>
      <c r="K38" s="151"/>
      <c r="L38" s="152"/>
      <c r="M38" s="151"/>
      <c r="N38" s="151"/>
      <c r="O38" s="148">
        <f t="shared" si="1"/>
        <v>0</v>
      </c>
      <c r="P38" s="148">
        <f t="shared" si="2"/>
        <v>129546700</v>
      </c>
    </row>
    <row r="39" spans="1:19" ht="33.75" x14ac:dyDescent="0.25">
      <c r="A39" s="149" t="s">
        <v>202</v>
      </c>
      <c r="B39" s="149">
        <v>1070</v>
      </c>
      <c r="C39" s="149" t="s">
        <v>203</v>
      </c>
      <c r="D39" s="150" t="s">
        <v>204</v>
      </c>
      <c r="E39" s="156">
        <v>5176335</v>
      </c>
      <c r="F39" s="156"/>
      <c r="G39" s="151"/>
      <c r="H39" s="151"/>
      <c r="I39" s="148">
        <f t="shared" si="3"/>
        <v>5176335</v>
      </c>
      <c r="J39" s="151"/>
      <c r="K39" s="151"/>
      <c r="L39" s="152"/>
      <c r="M39" s="151"/>
      <c r="N39" s="151"/>
      <c r="O39" s="148">
        <f t="shared" si="1"/>
        <v>0</v>
      </c>
      <c r="P39" s="148">
        <f t="shared" si="2"/>
        <v>5176335</v>
      </c>
      <c r="S39" s="35"/>
    </row>
    <row r="40" spans="1:19" ht="22.5" x14ac:dyDescent="0.25">
      <c r="A40" s="149" t="s">
        <v>205</v>
      </c>
      <c r="B40" s="149">
        <v>1141</v>
      </c>
      <c r="C40" s="149" t="s">
        <v>163</v>
      </c>
      <c r="D40" s="150" t="s">
        <v>206</v>
      </c>
      <c r="E40" s="151">
        <v>4034582</v>
      </c>
      <c r="F40" s="151"/>
      <c r="G40" s="151"/>
      <c r="H40" s="151"/>
      <c r="I40" s="148">
        <f t="shared" si="3"/>
        <v>4034582</v>
      </c>
      <c r="J40" s="152"/>
      <c r="K40" s="151"/>
      <c r="L40" s="152"/>
      <c r="M40" s="151"/>
      <c r="N40" s="151"/>
      <c r="O40" s="148">
        <f t="shared" si="1"/>
        <v>0</v>
      </c>
      <c r="P40" s="148">
        <f t="shared" si="2"/>
        <v>4034582</v>
      </c>
    </row>
    <row r="41" spans="1:19" x14ac:dyDescent="0.25">
      <c r="A41" s="149" t="s">
        <v>207</v>
      </c>
      <c r="B41" s="149">
        <v>1142</v>
      </c>
      <c r="C41" s="149" t="s">
        <v>163</v>
      </c>
      <c r="D41" s="150" t="s">
        <v>208</v>
      </c>
      <c r="E41" s="151">
        <v>1091000</v>
      </c>
      <c r="F41" s="151"/>
      <c r="G41" s="151"/>
      <c r="H41" s="151"/>
      <c r="I41" s="148">
        <f t="shared" si="3"/>
        <v>1091000</v>
      </c>
      <c r="J41" s="151"/>
      <c r="K41" s="151">
        <f>131000</f>
        <v>131000</v>
      </c>
      <c r="L41" s="152"/>
      <c r="M41" s="151">
        <f>131000</f>
        <v>131000</v>
      </c>
      <c r="N41" s="151">
        <f>131000</f>
        <v>131000</v>
      </c>
      <c r="O41" s="148">
        <f t="shared" si="1"/>
        <v>131000</v>
      </c>
      <c r="P41" s="148">
        <f t="shared" si="2"/>
        <v>1222000</v>
      </c>
    </row>
    <row r="42" spans="1:19" ht="67.5" x14ac:dyDescent="0.25">
      <c r="A42" s="149" t="s">
        <v>403</v>
      </c>
      <c r="B42" s="149" t="s">
        <v>401</v>
      </c>
      <c r="C42" s="149" t="s">
        <v>163</v>
      </c>
      <c r="D42" s="150" t="s">
        <v>402</v>
      </c>
      <c r="E42" s="151"/>
      <c r="F42" s="151"/>
      <c r="G42" s="151"/>
      <c r="H42" s="151"/>
      <c r="I42" s="148">
        <f t="shared" si="3"/>
        <v>0</v>
      </c>
      <c r="J42" s="151">
        <v>490280</v>
      </c>
      <c r="K42" s="151">
        <v>122570</v>
      </c>
      <c r="L42" s="152"/>
      <c r="M42" s="151">
        <v>122570</v>
      </c>
      <c r="N42" s="151">
        <v>122570</v>
      </c>
      <c r="O42" s="148">
        <f t="shared" si="1"/>
        <v>612850</v>
      </c>
      <c r="P42" s="148">
        <f t="shared" si="2"/>
        <v>612850</v>
      </c>
    </row>
    <row r="43" spans="1:19" ht="67.5" x14ac:dyDescent="0.25">
      <c r="A43" s="149" t="s">
        <v>352</v>
      </c>
      <c r="B43" s="149" t="s">
        <v>353</v>
      </c>
      <c r="C43" s="149" t="s">
        <v>163</v>
      </c>
      <c r="D43" s="150" t="s">
        <v>354</v>
      </c>
      <c r="E43" s="151"/>
      <c r="F43" s="151"/>
      <c r="G43" s="151"/>
      <c r="H43" s="151"/>
      <c r="I43" s="148">
        <f t="shared" si="3"/>
        <v>0</v>
      </c>
      <c r="J43" s="151">
        <v>2451400</v>
      </c>
      <c r="K43" s="151"/>
      <c r="L43" s="152"/>
      <c r="M43" s="151"/>
      <c r="N43" s="151"/>
      <c r="O43" s="148">
        <f t="shared" si="1"/>
        <v>2451400</v>
      </c>
      <c r="P43" s="148">
        <f t="shared" si="2"/>
        <v>2451400</v>
      </c>
    </row>
    <row r="44" spans="1:19" ht="67.5" x14ac:dyDescent="0.25">
      <c r="A44" s="149" t="s">
        <v>349</v>
      </c>
      <c r="B44" s="149" t="s">
        <v>350</v>
      </c>
      <c r="C44" s="149" t="s">
        <v>163</v>
      </c>
      <c r="D44" s="150" t="s">
        <v>351</v>
      </c>
      <c r="E44" s="151">
        <v>839300</v>
      </c>
      <c r="F44" s="151"/>
      <c r="G44" s="151"/>
      <c r="H44" s="151"/>
      <c r="I44" s="148">
        <f t="shared" si="3"/>
        <v>839300</v>
      </c>
      <c r="J44" s="151"/>
      <c r="K44" s="151"/>
      <c r="L44" s="152"/>
      <c r="M44" s="151"/>
      <c r="N44" s="151"/>
      <c r="O44" s="148">
        <f t="shared" si="1"/>
        <v>0</v>
      </c>
      <c r="P44" s="148">
        <f t="shared" si="2"/>
        <v>839300</v>
      </c>
    </row>
    <row r="45" spans="1:19" ht="45" x14ac:dyDescent="0.25">
      <c r="A45" s="119">
        <v>611403</v>
      </c>
      <c r="B45" s="120">
        <v>1403</v>
      </c>
      <c r="C45" s="125"/>
      <c r="D45" s="159" t="s">
        <v>364</v>
      </c>
      <c r="E45" s="151"/>
      <c r="F45" s="151"/>
      <c r="G45" s="151"/>
      <c r="H45" s="151"/>
      <c r="I45" s="148">
        <f t="shared" si="3"/>
        <v>0</v>
      </c>
      <c r="J45" s="151">
        <v>5273600</v>
      </c>
      <c r="K45" s="151"/>
      <c r="L45" s="152"/>
      <c r="M45" s="151"/>
      <c r="N45" s="151"/>
      <c r="O45" s="148">
        <f t="shared" si="1"/>
        <v>5273600</v>
      </c>
      <c r="P45" s="148">
        <f t="shared" si="2"/>
        <v>5273600</v>
      </c>
    </row>
    <row r="46" spans="1:19" ht="45" x14ac:dyDescent="0.25">
      <c r="A46" s="149" t="s">
        <v>356</v>
      </c>
      <c r="B46" s="149" t="s">
        <v>357</v>
      </c>
      <c r="C46" s="149" t="s">
        <v>163</v>
      </c>
      <c r="D46" s="150" t="s">
        <v>355</v>
      </c>
      <c r="E46" s="151">
        <v>9504800</v>
      </c>
      <c r="F46" s="151"/>
      <c r="G46" s="151"/>
      <c r="H46" s="151"/>
      <c r="I46" s="148">
        <f t="shared" si="3"/>
        <v>9504800</v>
      </c>
      <c r="J46" s="151"/>
      <c r="K46" s="151"/>
      <c r="L46" s="152"/>
      <c r="M46" s="151"/>
      <c r="N46" s="151"/>
      <c r="O46" s="148">
        <f t="shared" si="1"/>
        <v>0</v>
      </c>
      <c r="P46" s="148">
        <f t="shared" si="2"/>
        <v>9504800</v>
      </c>
    </row>
    <row r="47" spans="1:19" x14ac:dyDescent="0.25">
      <c r="A47" s="153" t="s">
        <v>444</v>
      </c>
      <c r="B47" s="153" t="s">
        <v>258</v>
      </c>
      <c r="C47" s="153" t="s">
        <v>257</v>
      </c>
      <c r="D47" s="150" t="s">
        <v>256</v>
      </c>
      <c r="E47" s="151"/>
      <c r="F47" s="151"/>
      <c r="G47" s="151"/>
      <c r="H47" s="151"/>
      <c r="I47" s="148">
        <f t="shared" ref="I47" si="5">SUM(E47:F47)</f>
        <v>0</v>
      </c>
      <c r="J47" s="151">
        <v>1200000</v>
      </c>
      <c r="K47" s="151"/>
      <c r="L47" s="152"/>
      <c r="M47" s="151"/>
      <c r="N47" s="151"/>
      <c r="O47" s="148">
        <f t="shared" ref="O47" si="6">SUM(J47+K47)</f>
        <v>1200000</v>
      </c>
      <c r="P47" s="148">
        <f t="shared" ref="P47" si="7">SUM(I47+O47)</f>
        <v>1200000</v>
      </c>
    </row>
    <row r="48" spans="1:19" x14ac:dyDescent="0.25">
      <c r="A48" s="126" t="s">
        <v>399</v>
      </c>
      <c r="B48" s="120">
        <v>9770</v>
      </c>
      <c r="C48" s="125">
        <v>180</v>
      </c>
      <c r="D48" s="121" t="s">
        <v>394</v>
      </c>
      <c r="E48" s="151"/>
      <c r="F48" s="151">
        <v>20000</v>
      </c>
      <c r="G48" s="151"/>
      <c r="H48" s="151"/>
      <c r="I48" s="148">
        <f t="shared" si="3"/>
        <v>20000</v>
      </c>
      <c r="J48" s="151">
        <v>3690000</v>
      </c>
      <c r="K48" s="151"/>
      <c r="L48" s="152"/>
      <c r="M48" s="151"/>
      <c r="N48" s="151"/>
      <c r="O48" s="148">
        <f t="shared" si="1"/>
        <v>3690000</v>
      </c>
      <c r="P48" s="148">
        <f t="shared" si="2"/>
        <v>3710000</v>
      </c>
    </row>
    <row r="49" spans="1:16" x14ac:dyDescent="0.25">
      <c r="A49" s="160" t="s">
        <v>209</v>
      </c>
      <c r="B49" s="161"/>
      <c r="C49" s="161"/>
      <c r="D49" s="147" t="s">
        <v>22</v>
      </c>
      <c r="E49" s="155">
        <f t="shared" ref="E49:N49" si="8">SUM(E50:E52)</f>
        <v>3050491</v>
      </c>
      <c r="F49" s="155">
        <f t="shared" si="8"/>
        <v>0</v>
      </c>
      <c r="G49" s="155">
        <f t="shared" si="8"/>
        <v>0</v>
      </c>
      <c r="H49" s="155">
        <f t="shared" si="8"/>
        <v>0</v>
      </c>
      <c r="I49" s="148">
        <f t="shared" si="3"/>
        <v>3050491</v>
      </c>
      <c r="J49" s="155">
        <f t="shared" si="8"/>
        <v>27000</v>
      </c>
      <c r="K49" s="155">
        <f t="shared" si="8"/>
        <v>0</v>
      </c>
      <c r="L49" s="155">
        <f t="shared" si="8"/>
        <v>0</v>
      </c>
      <c r="M49" s="155">
        <f t="shared" si="8"/>
        <v>0</v>
      </c>
      <c r="N49" s="155">
        <f t="shared" si="8"/>
        <v>0</v>
      </c>
      <c r="O49" s="148">
        <f t="shared" si="1"/>
        <v>27000</v>
      </c>
      <c r="P49" s="148">
        <f t="shared" si="2"/>
        <v>3077491</v>
      </c>
    </row>
    <row r="50" spans="1:16" ht="33.75" x14ac:dyDescent="0.25">
      <c r="A50" s="149" t="s">
        <v>210</v>
      </c>
      <c r="B50" s="149" t="s">
        <v>191</v>
      </c>
      <c r="C50" s="149" t="s">
        <v>156</v>
      </c>
      <c r="D50" s="150" t="s">
        <v>192</v>
      </c>
      <c r="E50" s="151">
        <v>1509071</v>
      </c>
      <c r="F50" s="151"/>
      <c r="G50" s="151"/>
      <c r="H50" s="151"/>
      <c r="I50" s="148">
        <f t="shared" si="3"/>
        <v>1509071</v>
      </c>
      <c r="J50" s="151">
        <v>27000</v>
      </c>
      <c r="K50" s="151"/>
      <c r="L50" s="152"/>
      <c r="M50" s="151"/>
      <c r="N50" s="151"/>
      <c r="O50" s="148">
        <f t="shared" si="1"/>
        <v>27000</v>
      </c>
      <c r="P50" s="148">
        <f t="shared" si="2"/>
        <v>1536071</v>
      </c>
    </row>
    <row r="51" spans="1:16" ht="22.5" x14ac:dyDescent="0.25">
      <c r="A51" s="162" t="s">
        <v>211</v>
      </c>
      <c r="B51" s="162">
        <v>3112</v>
      </c>
      <c r="C51" s="162">
        <v>1040</v>
      </c>
      <c r="D51" s="163" t="s">
        <v>31</v>
      </c>
      <c r="E51" s="151">
        <f>93000+504580</f>
        <v>597580</v>
      </c>
      <c r="F51" s="151"/>
      <c r="G51" s="151"/>
      <c r="H51" s="151"/>
      <c r="I51" s="148">
        <f t="shared" si="3"/>
        <v>597580</v>
      </c>
      <c r="J51" s="151"/>
      <c r="K51" s="151"/>
      <c r="L51" s="152"/>
      <c r="M51" s="151"/>
      <c r="N51" s="151"/>
      <c r="O51" s="148">
        <f t="shared" si="1"/>
        <v>0</v>
      </c>
      <c r="P51" s="148">
        <f t="shared" si="2"/>
        <v>597580</v>
      </c>
    </row>
    <row r="52" spans="1:16" ht="56.25" x14ac:dyDescent="0.25">
      <c r="A52" s="149" t="s">
        <v>212</v>
      </c>
      <c r="B52" s="149">
        <v>3133</v>
      </c>
      <c r="C52" s="149">
        <v>1040</v>
      </c>
      <c r="D52" s="150" t="s">
        <v>384</v>
      </c>
      <c r="E52" s="151">
        <v>943840</v>
      </c>
      <c r="F52" s="151"/>
      <c r="G52" s="151"/>
      <c r="H52" s="151"/>
      <c r="I52" s="148">
        <f t="shared" si="3"/>
        <v>943840</v>
      </c>
      <c r="J52" s="151"/>
      <c r="K52" s="151"/>
      <c r="L52" s="152"/>
      <c r="M52" s="151"/>
      <c r="N52" s="151"/>
      <c r="O52" s="148">
        <f t="shared" si="1"/>
        <v>0</v>
      </c>
      <c r="P52" s="148">
        <f t="shared" si="2"/>
        <v>943840</v>
      </c>
    </row>
    <row r="53" spans="1:16" x14ac:dyDescent="0.25">
      <c r="A53" s="160">
        <v>10</v>
      </c>
      <c r="B53" s="161"/>
      <c r="C53" s="161"/>
      <c r="D53" s="147" t="s">
        <v>23</v>
      </c>
      <c r="E53" s="155">
        <f>SUM(E54:E61)</f>
        <v>49936646</v>
      </c>
      <c r="F53" s="155">
        <f>SUM(F54:F61)</f>
        <v>190900</v>
      </c>
      <c r="G53" s="155">
        <f>SUM(G54:G61)</f>
        <v>0</v>
      </c>
      <c r="H53" s="155">
        <f>SUM(H54:H61)</f>
        <v>0</v>
      </c>
      <c r="I53" s="148">
        <f t="shared" si="3"/>
        <v>50127546</v>
      </c>
      <c r="J53" s="155">
        <f>SUM(J54:J61)</f>
        <v>3234040</v>
      </c>
      <c r="K53" s="155">
        <f>SUM(K54:K61)</f>
        <v>55518</v>
      </c>
      <c r="L53" s="155">
        <f>SUM(L54:L61)</f>
        <v>0</v>
      </c>
      <c r="M53" s="155">
        <f>SUM(M54:M61)</f>
        <v>55518</v>
      </c>
      <c r="N53" s="155">
        <f>SUM(N54:N61)</f>
        <v>55518</v>
      </c>
      <c r="O53" s="148">
        <f t="shared" si="1"/>
        <v>3289558</v>
      </c>
      <c r="P53" s="148">
        <f t="shared" si="2"/>
        <v>53417104</v>
      </c>
    </row>
    <row r="54" spans="1:16" ht="33.75" x14ac:dyDescent="0.25">
      <c r="A54" s="149">
        <v>1010160</v>
      </c>
      <c r="B54" s="149" t="s">
        <v>191</v>
      </c>
      <c r="C54" s="149" t="s">
        <v>156</v>
      </c>
      <c r="D54" s="150" t="s">
        <v>192</v>
      </c>
      <c r="E54" s="151">
        <v>1758613</v>
      </c>
      <c r="F54" s="151"/>
      <c r="G54" s="151"/>
      <c r="H54" s="151"/>
      <c r="I54" s="148">
        <f t="shared" si="3"/>
        <v>1758613</v>
      </c>
      <c r="J54" s="151"/>
      <c r="K54" s="151"/>
      <c r="L54" s="152"/>
      <c r="M54" s="151"/>
      <c r="N54" s="151"/>
      <c r="O54" s="148">
        <f t="shared" si="1"/>
        <v>0</v>
      </c>
      <c r="P54" s="148">
        <f t="shared" si="2"/>
        <v>1758613</v>
      </c>
    </row>
    <row r="55" spans="1:16" ht="22.5" x14ac:dyDescent="0.25">
      <c r="A55" s="149">
        <v>1011080</v>
      </c>
      <c r="B55" s="149">
        <v>1080</v>
      </c>
      <c r="C55" s="149" t="s">
        <v>203</v>
      </c>
      <c r="D55" s="150" t="s">
        <v>213</v>
      </c>
      <c r="E55" s="151">
        <v>18308065</v>
      </c>
      <c r="F55" s="151">
        <v>18000</v>
      </c>
      <c r="G55" s="151"/>
      <c r="H55" s="151"/>
      <c r="I55" s="148">
        <f t="shared" si="3"/>
        <v>18326065</v>
      </c>
      <c r="J55" s="151">
        <f>330000+1276040</f>
        <v>1606040</v>
      </c>
      <c r="K55" s="151"/>
      <c r="L55" s="151"/>
      <c r="M55" s="151"/>
      <c r="N55" s="151"/>
      <c r="O55" s="148">
        <f t="shared" si="1"/>
        <v>1606040</v>
      </c>
      <c r="P55" s="148">
        <f t="shared" si="2"/>
        <v>19932105</v>
      </c>
    </row>
    <row r="56" spans="1:16" x14ac:dyDescent="0.25">
      <c r="A56" s="149" t="s">
        <v>436</v>
      </c>
      <c r="B56" s="149">
        <v>4030</v>
      </c>
      <c r="C56" s="149" t="s">
        <v>214</v>
      </c>
      <c r="D56" s="150" t="s">
        <v>215</v>
      </c>
      <c r="E56" s="151">
        <v>10644074</v>
      </c>
      <c r="F56" s="151">
        <f>40000-5000</f>
        <v>35000</v>
      </c>
      <c r="G56" s="151"/>
      <c r="H56" s="151"/>
      <c r="I56" s="148">
        <f t="shared" si="3"/>
        <v>10679074</v>
      </c>
      <c r="J56" s="152">
        <v>518000</v>
      </c>
      <c r="K56" s="152">
        <f>-50000+60000</f>
        <v>10000</v>
      </c>
      <c r="L56" s="152"/>
      <c r="M56" s="152">
        <f>-50000+60000</f>
        <v>10000</v>
      </c>
      <c r="N56" s="152">
        <f>-50000+60000</f>
        <v>10000</v>
      </c>
      <c r="O56" s="148">
        <f t="shared" si="1"/>
        <v>528000</v>
      </c>
      <c r="P56" s="148">
        <f t="shared" si="2"/>
        <v>11207074</v>
      </c>
    </row>
    <row r="57" spans="1:16" x14ac:dyDescent="0.25">
      <c r="A57" s="149">
        <v>1014040</v>
      </c>
      <c r="B57" s="149">
        <v>4040</v>
      </c>
      <c r="C57" s="149" t="s">
        <v>214</v>
      </c>
      <c r="D57" s="150" t="s">
        <v>216</v>
      </c>
      <c r="E57" s="151">
        <v>2997250</v>
      </c>
      <c r="F57" s="151"/>
      <c r="G57" s="151"/>
      <c r="H57" s="151"/>
      <c r="I57" s="148">
        <f t="shared" si="3"/>
        <v>2997250</v>
      </c>
      <c r="J57" s="151">
        <v>80000</v>
      </c>
      <c r="K57" s="151"/>
      <c r="L57" s="151"/>
      <c r="M57" s="151"/>
      <c r="N57" s="151"/>
      <c r="O57" s="148">
        <f t="shared" si="1"/>
        <v>80000</v>
      </c>
      <c r="P57" s="148">
        <f t="shared" si="2"/>
        <v>3077250</v>
      </c>
    </row>
    <row r="58" spans="1:16" ht="33.75" x14ac:dyDescent="0.25">
      <c r="A58" s="153">
        <v>1014060</v>
      </c>
      <c r="B58" s="153">
        <v>4060</v>
      </c>
      <c r="C58" s="153" t="s">
        <v>217</v>
      </c>
      <c r="D58" s="150" t="s">
        <v>218</v>
      </c>
      <c r="E58" s="151">
        <v>14169734</v>
      </c>
      <c r="F58" s="151">
        <v>18000</v>
      </c>
      <c r="G58" s="151"/>
      <c r="H58" s="151"/>
      <c r="I58" s="148">
        <f t="shared" si="3"/>
        <v>14187734</v>
      </c>
      <c r="J58" s="151">
        <v>980000</v>
      </c>
      <c r="K58" s="151">
        <f>45518</f>
        <v>45518</v>
      </c>
      <c r="L58" s="151"/>
      <c r="M58" s="151">
        <f>45518</f>
        <v>45518</v>
      </c>
      <c r="N58" s="151">
        <f>45518</f>
        <v>45518</v>
      </c>
      <c r="O58" s="148">
        <f t="shared" si="1"/>
        <v>1025518</v>
      </c>
      <c r="P58" s="148">
        <f t="shared" si="2"/>
        <v>15213252</v>
      </c>
    </row>
    <row r="59" spans="1:16" ht="22.5" x14ac:dyDescent="0.25">
      <c r="A59" s="149">
        <v>1014081</v>
      </c>
      <c r="B59" s="149">
        <v>4081</v>
      </c>
      <c r="C59" s="149" t="s">
        <v>219</v>
      </c>
      <c r="D59" s="150" t="s">
        <v>220</v>
      </c>
      <c r="E59" s="151">
        <v>1658910</v>
      </c>
      <c r="F59" s="151"/>
      <c r="G59" s="151"/>
      <c r="H59" s="151"/>
      <c r="I59" s="148">
        <f t="shared" si="3"/>
        <v>1658910</v>
      </c>
      <c r="J59" s="151"/>
      <c r="K59" s="151"/>
      <c r="L59" s="151"/>
      <c r="M59" s="151"/>
      <c r="N59" s="151"/>
      <c r="O59" s="148">
        <f t="shared" si="1"/>
        <v>0</v>
      </c>
      <c r="P59" s="148">
        <f t="shared" si="2"/>
        <v>1658910</v>
      </c>
    </row>
    <row r="60" spans="1:16" x14ac:dyDescent="0.25">
      <c r="A60" s="149">
        <v>1014082</v>
      </c>
      <c r="B60" s="149">
        <v>4082</v>
      </c>
      <c r="C60" s="149" t="s">
        <v>219</v>
      </c>
      <c r="D60" s="150" t="s">
        <v>221</v>
      </c>
      <c r="E60" s="151">
        <v>400000</v>
      </c>
      <c r="F60" s="151"/>
      <c r="G60" s="151"/>
      <c r="H60" s="151"/>
      <c r="I60" s="148">
        <f t="shared" ref="I60" si="9">SUM(E60:F60)</f>
        <v>400000</v>
      </c>
      <c r="J60" s="151"/>
      <c r="K60" s="151"/>
      <c r="L60" s="151"/>
      <c r="M60" s="151"/>
      <c r="N60" s="151"/>
      <c r="O60" s="148">
        <f t="shared" ref="O60" si="10">SUM(J60+K60)</f>
        <v>0</v>
      </c>
      <c r="P60" s="148">
        <f t="shared" ref="P60" si="11">SUM(I60+O60)</f>
        <v>400000</v>
      </c>
    </row>
    <row r="61" spans="1:16" ht="22.5" x14ac:dyDescent="0.25">
      <c r="A61" s="153" t="s">
        <v>418</v>
      </c>
      <c r="B61" s="153">
        <v>7370</v>
      </c>
      <c r="C61" s="153" t="s">
        <v>186</v>
      </c>
      <c r="D61" s="150" t="s">
        <v>15</v>
      </c>
      <c r="E61" s="151">
        <v>0</v>
      </c>
      <c r="F61" s="151">
        <f>99900+20000</f>
        <v>119900</v>
      </c>
      <c r="G61" s="151"/>
      <c r="H61" s="151"/>
      <c r="I61" s="148">
        <f t="shared" si="3"/>
        <v>119900</v>
      </c>
      <c r="J61" s="151">
        <v>50000</v>
      </c>
      <c r="K61" s="151"/>
      <c r="L61" s="151"/>
      <c r="M61" s="151"/>
      <c r="N61" s="151"/>
      <c r="O61" s="148">
        <f t="shared" si="1"/>
        <v>50000</v>
      </c>
      <c r="P61" s="148">
        <f t="shared" si="2"/>
        <v>169900</v>
      </c>
    </row>
    <row r="62" spans="1:16" x14ac:dyDescent="0.25">
      <c r="A62" s="145">
        <v>11</v>
      </c>
      <c r="B62" s="146"/>
      <c r="C62" s="146"/>
      <c r="D62" s="147" t="s">
        <v>24</v>
      </c>
      <c r="E62" s="155">
        <f>SUM(E63:E68)</f>
        <v>25409460</v>
      </c>
      <c r="F62" s="155">
        <f>SUM(F63:F68)</f>
        <v>118696</v>
      </c>
      <c r="G62" s="155">
        <f t="shared" ref="G62:N62" si="12">SUM(G63:G68)</f>
        <v>76800</v>
      </c>
      <c r="H62" s="155">
        <f t="shared" si="12"/>
        <v>0</v>
      </c>
      <c r="I62" s="148">
        <f t="shared" si="3"/>
        <v>25528156</v>
      </c>
      <c r="J62" s="155">
        <f t="shared" si="12"/>
        <v>1765000</v>
      </c>
      <c r="K62" s="155">
        <f t="shared" si="12"/>
        <v>0</v>
      </c>
      <c r="L62" s="155">
        <f t="shared" si="12"/>
        <v>0</v>
      </c>
      <c r="M62" s="155">
        <f t="shared" si="12"/>
        <v>0</v>
      </c>
      <c r="N62" s="155">
        <f t="shared" si="12"/>
        <v>0</v>
      </c>
      <c r="O62" s="148">
        <f t="shared" si="1"/>
        <v>1765000</v>
      </c>
      <c r="P62" s="148">
        <f t="shared" si="2"/>
        <v>27293156</v>
      </c>
    </row>
    <row r="63" spans="1:16" ht="33.75" x14ac:dyDescent="0.25">
      <c r="A63" s="149">
        <v>1110160</v>
      </c>
      <c r="B63" s="149" t="s">
        <v>191</v>
      </c>
      <c r="C63" s="149" t="s">
        <v>156</v>
      </c>
      <c r="D63" s="150" t="s">
        <v>192</v>
      </c>
      <c r="E63" s="151">
        <v>3269410</v>
      </c>
      <c r="F63" s="151"/>
      <c r="G63" s="151"/>
      <c r="H63" s="151"/>
      <c r="I63" s="148">
        <f t="shared" si="3"/>
        <v>3269410</v>
      </c>
      <c r="J63" s="151">
        <v>240000</v>
      </c>
      <c r="K63" s="151"/>
      <c r="L63" s="152"/>
      <c r="M63" s="151"/>
      <c r="N63" s="151"/>
      <c r="O63" s="148">
        <f t="shared" si="1"/>
        <v>240000</v>
      </c>
      <c r="P63" s="148">
        <f t="shared" si="2"/>
        <v>3509410</v>
      </c>
    </row>
    <row r="64" spans="1:16" ht="56.25" x14ac:dyDescent="0.25">
      <c r="A64" s="149">
        <v>1113133</v>
      </c>
      <c r="B64" s="149">
        <v>3133</v>
      </c>
      <c r="C64" s="149">
        <v>1040</v>
      </c>
      <c r="D64" s="150" t="s">
        <v>384</v>
      </c>
      <c r="E64" s="151">
        <v>571850</v>
      </c>
      <c r="F64" s="151"/>
      <c r="G64" s="151"/>
      <c r="H64" s="151"/>
      <c r="I64" s="148">
        <f t="shared" si="3"/>
        <v>571850</v>
      </c>
      <c r="J64" s="151"/>
      <c r="K64" s="151"/>
      <c r="L64" s="152"/>
      <c r="M64" s="151"/>
      <c r="N64" s="151"/>
      <c r="O64" s="148">
        <f t="shared" si="1"/>
        <v>0</v>
      </c>
      <c r="P64" s="148">
        <f t="shared" si="2"/>
        <v>571850</v>
      </c>
    </row>
    <row r="65" spans="1:19" ht="67.5" x14ac:dyDescent="0.25">
      <c r="A65" s="149">
        <v>1115031</v>
      </c>
      <c r="B65" s="149">
        <v>5031</v>
      </c>
      <c r="C65" s="149" t="s">
        <v>222</v>
      </c>
      <c r="D65" s="150" t="s">
        <v>383</v>
      </c>
      <c r="E65" s="151">
        <v>17759000</v>
      </c>
      <c r="F65" s="151">
        <f>25000</f>
        <v>25000</v>
      </c>
      <c r="G65" s="151"/>
      <c r="H65" s="151"/>
      <c r="I65" s="148">
        <f t="shared" si="3"/>
        <v>17784000</v>
      </c>
      <c r="J65" s="151">
        <v>1525000</v>
      </c>
      <c r="K65" s="151"/>
      <c r="L65" s="152"/>
      <c r="M65" s="151"/>
      <c r="N65" s="151"/>
      <c r="O65" s="148">
        <f t="shared" si="1"/>
        <v>1525000</v>
      </c>
      <c r="P65" s="148">
        <f t="shared" si="2"/>
        <v>19309000</v>
      </c>
    </row>
    <row r="66" spans="1:19" ht="33.75" x14ac:dyDescent="0.25">
      <c r="A66" s="149" t="s">
        <v>486</v>
      </c>
      <c r="B66" s="120">
        <v>5049</v>
      </c>
      <c r="C66" s="125">
        <v>810</v>
      </c>
      <c r="D66" s="121" t="s">
        <v>487</v>
      </c>
      <c r="E66" s="151"/>
      <c r="F66" s="151">
        <f>70272+23424</f>
        <v>93696</v>
      </c>
      <c r="G66" s="151">
        <f>60800+16000</f>
        <v>76800</v>
      </c>
      <c r="H66" s="151"/>
      <c r="I66" s="148">
        <f t="shared" si="3"/>
        <v>93696</v>
      </c>
      <c r="J66" s="151"/>
      <c r="K66" s="151"/>
      <c r="L66" s="152"/>
      <c r="M66" s="151"/>
      <c r="N66" s="151"/>
      <c r="O66" s="148">
        <f t="shared" si="1"/>
        <v>0</v>
      </c>
      <c r="P66" s="148">
        <f t="shared" si="2"/>
        <v>93696</v>
      </c>
    </row>
    <row r="67" spans="1:19" ht="45" x14ac:dyDescent="0.25">
      <c r="A67" s="149">
        <v>1115061</v>
      </c>
      <c r="B67" s="149">
        <v>5061</v>
      </c>
      <c r="C67" s="149" t="s">
        <v>222</v>
      </c>
      <c r="D67" s="150" t="s">
        <v>32</v>
      </c>
      <c r="E67" s="151">
        <v>1498000</v>
      </c>
      <c r="F67" s="151"/>
      <c r="G67" s="151"/>
      <c r="H67" s="151"/>
      <c r="I67" s="148">
        <f t="shared" si="3"/>
        <v>1498000</v>
      </c>
      <c r="J67" s="151"/>
      <c r="K67" s="151"/>
      <c r="L67" s="152"/>
      <c r="M67" s="151"/>
      <c r="N67" s="151"/>
      <c r="O67" s="148">
        <f t="shared" si="1"/>
        <v>0</v>
      </c>
      <c r="P67" s="148">
        <f t="shared" si="2"/>
        <v>1498000</v>
      </c>
    </row>
    <row r="68" spans="1:19" ht="33.75" x14ac:dyDescent="0.25">
      <c r="A68" s="153">
        <v>1115062</v>
      </c>
      <c r="B68" s="153">
        <v>5062</v>
      </c>
      <c r="C68" s="153" t="s">
        <v>222</v>
      </c>
      <c r="D68" s="150" t="s">
        <v>33</v>
      </c>
      <c r="E68" s="151">
        <v>2311200</v>
      </c>
      <c r="F68" s="151"/>
      <c r="G68" s="151"/>
      <c r="H68" s="151"/>
      <c r="I68" s="148">
        <f t="shared" si="3"/>
        <v>2311200</v>
      </c>
      <c r="J68" s="151"/>
      <c r="K68" s="151"/>
      <c r="L68" s="152"/>
      <c r="M68" s="151"/>
      <c r="N68" s="151"/>
      <c r="O68" s="148">
        <f t="shared" si="1"/>
        <v>0</v>
      </c>
      <c r="P68" s="148">
        <f t="shared" si="2"/>
        <v>2311200</v>
      </c>
    </row>
    <row r="69" spans="1:19" ht="21" x14ac:dyDescent="0.25">
      <c r="A69" s="145">
        <v>12</v>
      </c>
      <c r="B69" s="146"/>
      <c r="C69" s="146"/>
      <c r="D69" s="147" t="s">
        <v>25</v>
      </c>
      <c r="E69" s="155">
        <f>SUM(E70:E87)</f>
        <v>35799014.950000003</v>
      </c>
      <c r="F69" s="155">
        <f>SUM(F70:F87)</f>
        <v>195000</v>
      </c>
      <c r="G69" s="155">
        <f t="shared" ref="G69:N69" si="13">SUM(G70:G87)</f>
        <v>0</v>
      </c>
      <c r="H69" s="155">
        <f t="shared" si="13"/>
        <v>0</v>
      </c>
      <c r="I69" s="148">
        <f t="shared" si="3"/>
        <v>35994014.950000003</v>
      </c>
      <c r="J69" s="155">
        <f t="shared" si="13"/>
        <v>59554460</v>
      </c>
      <c r="K69" s="155">
        <f>SUM(K70:K87)</f>
        <v>1694440</v>
      </c>
      <c r="L69" s="155">
        <f t="shared" si="13"/>
        <v>0</v>
      </c>
      <c r="M69" s="155">
        <f t="shared" si="13"/>
        <v>1694440</v>
      </c>
      <c r="N69" s="155">
        <f t="shared" si="13"/>
        <v>1694440</v>
      </c>
      <c r="O69" s="148">
        <f t="shared" si="1"/>
        <v>61248900</v>
      </c>
      <c r="P69" s="148">
        <f t="shared" si="2"/>
        <v>97242914.950000003</v>
      </c>
      <c r="S69" s="35"/>
    </row>
    <row r="70" spans="1:19" ht="56.25" x14ac:dyDescent="0.25">
      <c r="A70" s="149" t="s">
        <v>299</v>
      </c>
      <c r="B70" s="149" t="s">
        <v>155</v>
      </c>
      <c r="C70" s="149" t="s">
        <v>156</v>
      </c>
      <c r="D70" s="150" t="s">
        <v>157</v>
      </c>
      <c r="E70" s="151">
        <v>3873400</v>
      </c>
      <c r="F70" s="151">
        <v>20000</v>
      </c>
      <c r="G70" s="151"/>
      <c r="H70" s="151"/>
      <c r="I70" s="148">
        <f t="shared" si="3"/>
        <v>3893400</v>
      </c>
      <c r="J70" s="151"/>
      <c r="K70" s="151"/>
      <c r="L70" s="152"/>
      <c r="M70" s="151"/>
      <c r="N70" s="151"/>
      <c r="O70" s="148">
        <f t="shared" si="1"/>
        <v>0</v>
      </c>
      <c r="P70" s="148">
        <f t="shared" si="2"/>
        <v>3893400</v>
      </c>
      <c r="S70" s="35"/>
    </row>
    <row r="71" spans="1:19" ht="33.75" x14ac:dyDescent="0.25">
      <c r="A71" s="149">
        <v>1210160</v>
      </c>
      <c r="B71" s="149" t="s">
        <v>191</v>
      </c>
      <c r="C71" s="149" t="s">
        <v>156</v>
      </c>
      <c r="D71" s="150" t="s">
        <v>192</v>
      </c>
      <c r="E71" s="151">
        <v>9159987</v>
      </c>
      <c r="F71" s="151"/>
      <c r="G71" s="151"/>
      <c r="H71" s="151"/>
      <c r="I71" s="148">
        <f t="shared" si="3"/>
        <v>9159987</v>
      </c>
      <c r="J71" s="151"/>
      <c r="K71" s="151"/>
      <c r="L71" s="152"/>
      <c r="M71" s="151"/>
      <c r="N71" s="151"/>
      <c r="O71" s="148">
        <f t="shared" si="1"/>
        <v>0</v>
      </c>
      <c r="P71" s="148">
        <f t="shared" si="2"/>
        <v>9159987</v>
      </c>
      <c r="S71" s="35"/>
    </row>
    <row r="72" spans="1:19" x14ac:dyDescent="0.25">
      <c r="A72" s="149" t="s">
        <v>300</v>
      </c>
      <c r="B72" s="153">
        <v>1010</v>
      </c>
      <c r="C72" s="153" t="s">
        <v>194</v>
      </c>
      <c r="D72" s="150" t="s">
        <v>195</v>
      </c>
      <c r="E72" s="151">
        <v>1100000</v>
      </c>
      <c r="F72" s="151"/>
      <c r="G72" s="151"/>
      <c r="H72" s="151"/>
      <c r="I72" s="148">
        <f t="shared" si="3"/>
        <v>1100000</v>
      </c>
      <c r="J72" s="151">
        <v>50000</v>
      </c>
      <c r="K72" s="151"/>
      <c r="L72" s="152"/>
      <c r="M72" s="151"/>
      <c r="N72" s="151"/>
      <c r="O72" s="148">
        <f t="shared" si="1"/>
        <v>50000</v>
      </c>
      <c r="P72" s="148">
        <f t="shared" si="2"/>
        <v>1150000</v>
      </c>
      <c r="S72" s="35"/>
    </row>
    <row r="73" spans="1:19" ht="33.75" x14ac:dyDescent="0.25">
      <c r="A73" s="153" t="s">
        <v>275</v>
      </c>
      <c r="B73" s="153">
        <v>1021</v>
      </c>
      <c r="C73" s="153" t="s">
        <v>197</v>
      </c>
      <c r="D73" s="150" t="s">
        <v>234</v>
      </c>
      <c r="E73" s="151">
        <v>200000</v>
      </c>
      <c r="F73" s="151"/>
      <c r="G73" s="151"/>
      <c r="H73" s="151"/>
      <c r="I73" s="148">
        <f t="shared" si="3"/>
        <v>200000</v>
      </c>
      <c r="J73" s="151">
        <v>40370460</v>
      </c>
      <c r="K73" s="151">
        <v>20000</v>
      </c>
      <c r="L73" s="152"/>
      <c r="M73" s="151">
        <v>20000</v>
      </c>
      <c r="N73" s="151">
        <v>20000</v>
      </c>
      <c r="O73" s="148">
        <f t="shared" si="1"/>
        <v>40390460</v>
      </c>
      <c r="P73" s="148">
        <f t="shared" si="2"/>
        <v>40590460</v>
      </c>
    </row>
    <row r="74" spans="1:19" ht="22.5" x14ac:dyDescent="0.25">
      <c r="A74" s="149" t="s">
        <v>308</v>
      </c>
      <c r="B74" s="149">
        <v>1080</v>
      </c>
      <c r="C74" s="149" t="s">
        <v>203</v>
      </c>
      <c r="D74" s="150" t="s">
        <v>213</v>
      </c>
      <c r="E74" s="151"/>
      <c r="F74" s="151"/>
      <c r="G74" s="151"/>
      <c r="H74" s="151"/>
      <c r="I74" s="148">
        <f t="shared" si="3"/>
        <v>0</v>
      </c>
      <c r="J74" s="151">
        <v>250000</v>
      </c>
      <c r="K74" s="151">
        <v>15000</v>
      </c>
      <c r="L74" s="152"/>
      <c r="M74" s="151">
        <v>15000</v>
      </c>
      <c r="N74" s="151">
        <v>15000</v>
      </c>
      <c r="O74" s="148">
        <f t="shared" si="1"/>
        <v>265000</v>
      </c>
      <c r="P74" s="148">
        <f t="shared" si="2"/>
        <v>265000</v>
      </c>
    </row>
    <row r="75" spans="1:19" ht="22.5" x14ac:dyDescent="0.25">
      <c r="A75" s="153" t="s">
        <v>398</v>
      </c>
      <c r="B75" s="153">
        <v>2152</v>
      </c>
      <c r="C75" s="153" t="s">
        <v>173</v>
      </c>
      <c r="D75" s="150" t="s">
        <v>174</v>
      </c>
      <c r="E75" s="151"/>
      <c r="F75" s="151"/>
      <c r="G75" s="151"/>
      <c r="H75" s="151"/>
      <c r="I75" s="148">
        <f t="shared" si="3"/>
        <v>0</v>
      </c>
      <c r="J75" s="151">
        <v>500000</v>
      </c>
      <c r="K75" s="151"/>
      <c r="L75" s="152"/>
      <c r="M75" s="151"/>
      <c r="N75" s="151"/>
      <c r="O75" s="148">
        <f t="shared" si="1"/>
        <v>500000</v>
      </c>
      <c r="P75" s="148">
        <f t="shared" si="2"/>
        <v>500000</v>
      </c>
    </row>
    <row r="76" spans="1:19" x14ac:dyDescent="0.25">
      <c r="A76" s="149" t="s">
        <v>452</v>
      </c>
      <c r="B76" s="149">
        <v>4030</v>
      </c>
      <c r="C76" s="149" t="s">
        <v>214</v>
      </c>
      <c r="D76" s="150" t="s">
        <v>215</v>
      </c>
      <c r="E76" s="151"/>
      <c r="F76" s="151"/>
      <c r="G76" s="151"/>
      <c r="H76" s="151"/>
      <c r="I76" s="148">
        <f t="shared" si="3"/>
        <v>0</v>
      </c>
      <c r="J76" s="151">
        <v>150000</v>
      </c>
      <c r="K76" s="151">
        <f>70000</f>
        <v>70000</v>
      </c>
      <c r="L76" s="152"/>
      <c r="M76" s="151">
        <f>70000</f>
        <v>70000</v>
      </c>
      <c r="N76" s="151">
        <f>70000</f>
        <v>70000</v>
      </c>
      <c r="O76" s="148">
        <f t="shared" si="1"/>
        <v>220000</v>
      </c>
      <c r="P76" s="148">
        <f t="shared" si="2"/>
        <v>220000</v>
      </c>
    </row>
    <row r="77" spans="1:19" ht="33.75" x14ac:dyDescent="0.25">
      <c r="A77" s="153" t="s">
        <v>307</v>
      </c>
      <c r="B77" s="153">
        <v>4060</v>
      </c>
      <c r="C77" s="153" t="s">
        <v>217</v>
      </c>
      <c r="D77" s="150" t="s">
        <v>218</v>
      </c>
      <c r="E77" s="151">
        <v>798300</v>
      </c>
      <c r="F77" s="151"/>
      <c r="G77" s="151"/>
      <c r="H77" s="151"/>
      <c r="I77" s="148">
        <f t="shared" si="3"/>
        <v>798300</v>
      </c>
      <c r="J77" s="151">
        <v>400000</v>
      </c>
      <c r="K77" s="151">
        <v>50000</v>
      </c>
      <c r="L77" s="152"/>
      <c r="M77" s="151">
        <v>50000</v>
      </c>
      <c r="N77" s="151">
        <v>50000</v>
      </c>
      <c r="O77" s="148">
        <f t="shared" si="1"/>
        <v>450000</v>
      </c>
      <c r="P77" s="148">
        <f t="shared" si="2"/>
        <v>1248300</v>
      </c>
    </row>
    <row r="78" spans="1:19" ht="67.5" x14ac:dyDescent="0.25">
      <c r="A78" s="149" t="s">
        <v>301</v>
      </c>
      <c r="B78" s="149">
        <v>5031</v>
      </c>
      <c r="C78" s="149" t="s">
        <v>222</v>
      </c>
      <c r="D78" s="150" t="s">
        <v>383</v>
      </c>
      <c r="E78" s="151"/>
      <c r="F78" s="151"/>
      <c r="G78" s="151"/>
      <c r="H78" s="151"/>
      <c r="I78" s="148">
        <f t="shared" si="3"/>
        <v>0</v>
      </c>
      <c r="J78" s="151">
        <v>2600000</v>
      </c>
      <c r="K78" s="151">
        <f>457000</f>
        <v>457000</v>
      </c>
      <c r="L78" s="152"/>
      <c r="M78" s="151">
        <f>457000</f>
        <v>457000</v>
      </c>
      <c r="N78" s="151">
        <f>457000</f>
        <v>457000</v>
      </c>
      <c r="O78" s="148">
        <f t="shared" si="1"/>
        <v>3057000</v>
      </c>
      <c r="P78" s="148">
        <f t="shared" si="2"/>
        <v>3057000</v>
      </c>
    </row>
    <row r="79" spans="1:19" ht="22.5" x14ac:dyDescent="0.25">
      <c r="A79" s="124">
        <v>1216013</v>
      </c>
      <c r="B79" s="125">
        <v>6013</v>
      </c>
      <c r="C79" s="125">
        <v>620</v>
      </c>
      <c r="D79" s="164" t="s">
        <v>277</v>
      </c>
      <c r="E79" s="151">
        <v>8060000</v>
      </c>
      <c r="F79" s="151">
        <v>170000</v>
      </c>
      <c r="G79" s="151"/>
      <c r="H79" s="151"/>
      <c r="I79" s="148">
        <f t="shared" si="3"/>
        <v>8230000</v>
      </c>
      <c r="J79" s="151">
        <v>950000</v>
      </c>
      <c r="K79" s="151">
        <f>430000+149490+202950</f>
        <v>782440</v>
      </c>
      <c r="L79" s="152"/>
      <c r="M79" s="151">
        <f>430000+149490+202950</f>
        <v>782440</v>
      </c>
      <c r="N79" s="151">
        <f>430000+149490+202950</f>
        <v>782440</v>
      </c>
      <c r="O79" s="148">
        <f t="shared" si="1"/>
        <v>1732440</v>
      </c>
      <c r="P79" s="148">
        <f t="shared" si="2"/>
        <v>9962440</v>
      </c>
    </row>
    <row r="80" spans="1:19" x14ac:dyDescent="0.25">
      <c r="A80" s="124">
        <v>1216040</v>
      </c>
      <c r="B80" s="125">
        <v>6040</v>
      </c>
      <c r="C80" s="125">
        <v>620</v>
      </c>
      <c r="D80" s="164" t="s">
        <v>302</v>
      </c>
      <c r="E80" s="151">
        <v>1695000</v>
      </c>
      <c r="F80" s="151"/>
      <c r="G80" s="151"/>
      <c r="H80" s="151"/>
      <c r="I80" s="148">
        <f t="shared" si="3"/>
        <v>1695000</v>
      </c>
      <c r="J80" s="151"/>
      <c r="K80" s="151"/>
      <c r="L80" s="152"/>
      <c r="M80" s="151"/>
      <c r="N80" s="151"/>
      <c r="O80" s="148">
        <f t="shared" si="1"/>
        <v>0</v>
      </c>
      <c r="P80" s="148">
        <f t="shared" si="2"/>
        <v>1695000</v>
      </c>
    </row>
    <row r="81" spans="1:19" ht="78.75" x14ac:dyDescent="0.25">
      <c r="A81" s="149">
        <v>1216071</v>
      </c>
      <c r="B81" s="149">
        <v>6071</v>
      </c>
      <c r="C81" s="149" t="s">
        <v>223</v>
      </c>
      <c r="D81" s="154" t="s">
        <v>53</v>
      </c>
      <c r="E81" s="151">
        <v>6700000</v>
      </c>
      <c r="F81" s="151"/>
      <c r="G81" s="151"/>
      <c r="H81" s="151"/>
      <c r="I81" s="148">
        <f t="shared" si="3"/>
        <v>6700000</v>
      </c>
      <c r="J81" s="151"/>
      <c r="K81" s="151"/>
      <c r="L81" s="152"/>
      <c r="M81" s="151"/>
      <c r="N81" s="151"/>
      <c r="O81" s="148">
        <f t="shared" si="1"/>
        <v>0</v>
      </c>
      <c r="P81" s="148">
        <f t="shared" si="2"/>
        <v>6700000</v>
      </c>
    </row>
    <row r="82" spans="1:19" ht="22.5" x14ac:dyDescent="0.25">
      <c r="A82" s="149">
        <v>1216090</v>
      </c>
      <c r="B82" s="149">
        <v>6090</v>
      </c>
      <c r="C82" s="149" t="s">
        <v>223</v>
      </c>
      <c r="D82" s="150" t="s">
        <v>224</v>
      </c>
      <c r="E82" s="151">
        <v>4009300</v>
      </c>
      <c r="F82" s="151">
        <v>-35000</v>
      </c>
      <c r="G82" s="151"/>
      <c r="H82" s="151"/>
      <c r="I82" s="148">
        <f t="shared" si="3"/>
        <v>3974300</v>
      </c>
      <c r="J82" s="151">
        <v>600000</v>
      </c>
      <c r="K82" s="151"/>
      <c r="L82" s="152"/>
      <c r="M82" s="151"/>
      <c r="N82" s="151"/>
      <c r="O82" s="148">
        <f t="shared" si="1"/>
        <v>600000</v>
      </c>
      <c r="P82" s="148">
        <f t="shared" si="2"/>
        <v>4574300</v>
      </c>
    </row>
    <row r="83" spans="1:19" ht="22.5" x14ac:dyDescent="0.25">
      <c r="A83" s="124">
        <v>1217670</v>
      </c>
      <c r="B83" s="120">
        <v>7670</v>
      </c>
      <c r="C83" s="125">
        <v>490</v>
      </c>
      <c r="D83" s="164" t="s">
        <v>303</v>
      </c>
      <c r="E83" s="151"/>
      <c r="F83" s="151"/>
      <c r="G83" s="151"/>
      <c r="H83" s="151"/>
      <c r="I83" s="148">
        <f t="shared" si="3"/>
        <v>0</v>
      </c>
      <c r="J83" s="151">
        <v>12750000</v>
      </c>
      <c r="K83" s="151"/>
      <c r="L83" s="152"/>
      <c r="M83" s="151"/>
      <c r="N83" s="151"/>
      <c r="O83" s="148">
        <f t="shared" si="1"/>
        <v>12750000</v>
      </c>
      <c r="P83" s="148">
        <f t="shared" si="2"/>
        <v>12750000</v>
      </c>
    </row>
    <row r="84" spans="1:19" ht="22.5" x14ac:dyDescent="0.25">
      <c r="A84" s="185">
        <v>1217370</v>
      </c>
      <c r="B84" s="186">
        <v>7370</v>
      </c>
      <c r="C84" s="42">
        <v>490</v>
      </c>
      <c r="D84" s="43" t="s">
        <v>15</v>
      </c>
      <c r="E84" s="151">
        <v>100000</v>
      </c>
      <c r="F84" s="151">
        <f>40000</f>
        <v>40000</v>
      </c>
      <c r="G84" s="151"/>
      <c r="H84" s="151"/>
      <c r="I84" s="148">
        <f t="shared" si="3"/>
        <v>140000</v>
      </c>
      <c r="J84" s="151">
        <v>302000</v>
      </c>
      <c r="K84" s="151">
        <f>300000</f>
        <v>300000</v>
      </c>
      <c r="L84" s="152"/>
      <c r="M84" s="151">
        <f>300000</f>
        <v>300000</v>
      </c>
      <c r="N84" s="151">
        <f>300000</f>
        <v>300000</v>
      </c>
      <c r="O84" s="148">
        <f t="shared" si="1"/>
        <v>602000</v>
      </c>
      <c r="P84" s="148">
        <f t="shared" si="2"/>
        <v>742000</v>
      </c>
    </row>
    <row r="85" spans="1:19" x14ac:dyDescent="0.25">
      <c r="A85" s="153" t="s">
        <v>473</v>
      </c>
      <c r="B85" s="153" t="s">
        <v>258</v>
      </c>
      <c r="C85" s="153" t="s">
        <v>257</v>
      </c>
      <c r="D85" s="150" t="s">
        <v>256</v>
      </c>
      <c r="E85" s="151"/>
      <c r="F85" s="151"/>
      <c r="G85" s="151"/>
      <c r="H85" s="151"/>
      <c r="I85" s="148">
        <f t="shared" si="3"/>
        <v>0</v>
      </c>
      <c r="J85" s="151">
        <v>332000</v>
      </c>
      <c r="K85" s="151"/>
      <c r="L85" s="152"/>
      <c r="M85" s="151"/>
      <c r="N85" s="151"/>
      <c r="O85" s="148">
        <f t="shared" si="1"/>
        <v>332000</v>
      </c>
      <c r="P85" s="148">
        <f t="shared" si="2"/>
        <v>332000</v>
      </c>
    </row>
    <row r="86" spans="1:19" ht="22.5" x14ac:dyDescent="0.25">
      <c r="A86" s="153" t="s">
        <v>433</v>
      </c>
      <c r="B86" s="153">
        <v>7693</v>
      </c>
      <c r="C86" s="153" t="s">
        <v>186</v>
      </c>
      <c r="D86" s="154" t="s">
        <v>188</v>
      </c>
      <c r="E86" s="151">
        <v>103027.95</v>
      </c>
      <c r="F86" s="151"/>
      <c r="G86" s="151"/>
      <c r="H86" s="151"/>
      <c r="I86" s="148">
        <f t="shared" si="3"/>
        <v>103027.95</v>
      </c>
      <c r="J86" s="151"/>
      <c r="K86" s="151"/>
      <c r="L86" s="152"/>
      <c r="M86" s="151"/>
      <c r="N86" s="151"/>
      <c r="O86" s="148"/>
      <c r="P86" s="148">
        <f t="shared" si="2"/>
        <v>103027.95</v>
      </c>
    </row>
    <row r="87" spans="1:19" x14ac:dyDescent="0.25">
      <c r="A87" s="126" t="s">
        <v>400</v>
      </c>
      <c r="B87" s="120">
        <v>9770</v>
      </c>
      <c r="C87" s="125">
        <v>180</v>
      </c>
      <c r="D87" s="121" t="s">
        <v>394</v>
      </c>
      <c r="E87" s="151"/>
      <c r="F87" s="151"/>
      <c r="G87" s="151"/>
      <c r="H87" s="151"/>
      <c r="I87" s="148">
        <f t="shared" si="3"/>
        <v>0</v>
      </c>
      <c r="J87" s="151">
        <v>300000</v>
      </c>
      <c r="K87" s="151"/>
      <c r="L87" s="152"/>
      <c r="M87" s="151"/>
      <c r="N87" s="151"/>
      <c r="O87" s="148">
        <f t="shared" si="1"/>
        <v>300000</v>
      </c>
      <c r="P87" s="148">
        <f t="shared" si="2"/>
        <v>300000</v>
      </c>
    </row>
    <row r="88" spans="1:19" ht="21" x14ac:dyDescent="0.25">
      <c r="A88" s="160">
        <v>14</v>
      </c>
      <c r="B88" s="161"/>
      <c r="C88" s="161"/>
      <c r="D88" s="147" t="s">
        <v>26</v>
      </c>
      <c r="E88" s="155">
        <f t="shared" ref="E88:N88" si="14">SUM(E89:E93)</f>
        <v>60121166</v>
      </c>
      <c r="F88" s="155">
        <f>SUM(F89:F93)</f>
        <v>425920</v>
      </c>
      <c r="G88" s="155">
        <f t="shared" si="14"/>
        <v>0</v>
      </c>
      <c r="H88" s="155">
        <f t="shared" si="14"/>
        <v>0</v>
      </c>
      <c r="I88" s="148">
        <f t="shared" si="3"/>
        <v>60547086</v>
      </c>
      <c r="J88" s="155">
        <f t="shared" si="14"/>
        <v>17881100</v>
      </c>
      <c r="K88" s="155">
        <f>SUM(K89:K93)</f>
        <v>1698562</v>
      </c>
      <c r="L88" s="155">
        <f t="shared" si="14"/>
        <v>0</v>
      </c>
      <c r="M88" s="155">
        <f t="shared" si="14"/>
        <v>1698562</v>
      </c>
      <c r="N88" s="155">
        <f t="shared" si="14"/>
        <v>1698562</v>
      </c>
      <c r="O88" s="148">
        <f t="shared" si="1"/>
        <v>19579662</v>
      </c>
      <c r="P88" s="148">
        <f t="shared" si="2"/>
        <v>80126748</v>
      </c>
      <c r="S88" s="35"/>
    </row>
    <row r="89" spans="1:19" ht="22.5" x14ac:dyDescent="0.25">
      <c r="A89" s="149">
        <v>1410160</v>
      </c>
      <c r="B89" s="149" t="s">
        <v>191</v>
      </c>
      <c r="C89" s="149" t="s">
        <v>156</v>
      </c>
      <c r="D89" s="150" t="s">
        <v>225</v>
      </c>
      <c r="E89" s="151">
        <v>7374220</v>
      </c>
      <c r="F89" s="151">
        <v>-53690</v>
      </c>
      <c r="G89" s="151"/>
      <c r="H89" s="151"/>
      <c r="I89" s="148">
        <f t="shared" si="3"/>
        <v>7320530</v>
      </c>
      <c r="J89" s="151"/>
      <c r="K89" s="151">
        <v>53690</v>
      </c>
      <c r="L89" s="152"/>
      <c r="M89" s="151">
        <v>53690</v>
      </c>
      <c r="N89" s="151">
        <v>53690</v>
      </c>
      <c r="O89" s="148">
        <f t="shared" si="1"/>
        <v>53690</v>
      </c>
      <c r="P89" s="148">
        <f t="shared" si="2"/>
        <v>7374220</v>
      </c>
      <c r="S89" s="35"/>
    </row>
    <row r="90" spans="1:19" x14ac:dyDescent="0.25">
      <c r="A90" s="149">
        <v>1416030</v>
      </c>
      <c r="B90" s="149">
        <v>6030</v>
      </c>
      <c r="C90" s="149" t="s">
        <v>226</v>
      </c>
      <c r="D90" s="150" t="s">
        <v>227</v>
      </c>
      <c r="E90" s="151">
        <v>49726946</v>
      </c>
      <c r="F90" s="151">
        <f>20000+135000+25000-100390+190000</f>
        <v>269610</v>
      </c>
      <c r="G90" s="151"/>
      <c r="H90" s="151"/>
      <c r="I90" s="148">
        <f t="shared" ref="I90:I100" si="15">SUM(E90:F90)</f>
        <v>49996556</v>
      </c>
      <c r="J90" s="151">
        <v>12338800</v>
      </c>
      <c r="K90" s="151">
        <f>380000+230000+100390+50000+60000</f>
        <v>820390</v>
      </c>
      <c r="L90" s="152"/>
      <c r="M90" s="151">
        <f>380000+230000+100390+50000+60000</f>
        <v>820390</v>
      </c>
      <c r="N90" s="151">
        <f>380000+230000+100390+50000+60000</f>
        <v>820390</v>
      </c>
      <c r="O90" s="148">
        <f t="shared" ref="O90:O99" si="16">SUM(J90+K90)</f>
        <v>13159190</v>
      </c>
      <c r="P90" s="148">
        <f t="shared" ref="P90:P100" si="17">SUM(I90+O90)</f>
        <v>63155746</v>
      </c>
    </row>
    <row r="91" spans="1:19" ht="33.75" x14ac:dyDescent="0.25">
      <c r="A91" s="124">
        <v>1417461</v>
      </c>
      <c r="B91" s="120">
        <v>7461</v>
      </c>
      <c r="C91" s="125">
        <v>456</v>
      </c>
      <c r="D91" s="121" t="s">
        <v>390</v>
      </c>
      <c r="E91" s="151">
        <v>2740000</v>
      </c>
      <c r="F91" s="151">
        <f>20000+110000+100000</f>
        <v>230000</v>
      </c>
      <c r="G91" s="151"/>
      <c r="H91" s="151"/>
      <c r="I91" s="148">
        <f t="shared" si="15"/>
        <v>2970000</v>
      </c>
      <c r="J91" s="151">
        <v>4697000</v>
      </c>
      <c r="K91" s="151">
        <f>924482-100000</f>
        <v>824482</v>
      </c>
      <c r="L91" s="152"/>
      <c r="M91" s="151">
        <f>924482-100000</f>
        <v>824482</v>
      </c>
      <c r="N91" s="151">
        <f>924482-100000</f>
        <v>824482</v>
      </c>
      <c r="O91" s="148">
        <f t="shared" si="16"/>
        <v>5521482</v>
      </c>
      <c r="P91" s="148">
        <f t="shared" si="17"/>
        <v>8491482</v>
      </c>
    </row>
    <row r="92" spans="1:19" ht="22.5" x14ac:dyDescent="0.25">
      <c r="A92" s="185">
        <v>1417370</v>
      </c>
      <c r="B92" s="186">
        <v>7370</v>
      </c>
      <c r="C92" s="42">
        <v>490</v>
      </c>
      <c r="D92" s="43" t="s">
        <v>15</v>
      </c>
      <c r="E92" s="151">
        <v>280000</v>
      </c>
      <c r="F92" s="151">
        <v>-20000</v>
      </c>
      <c r="G92" s="151"/>
      <c r="H92" s="151"/>
      <c r="I92" s="148">
        <f t="shared" si="15"/>
        <v>260000</v>
      </c>
      <c r="J92" s="151">
        <v>140000</v>
      </c>
      <c r="K92" s="151"/>
      <c r="L92" s="152"/>
      <c r="M92" s="151"/>
      <c r="N92" s="151"/>
      <c r="O92" s="148">
        <f t="shared" si="16"/>
        <v>140000</v>
      </c>
      <c r="P92" s="148">
        <f t="shared" si="17"/>
        <v>400000</v>
      </c>
    </row>
    <row r="93" spans="1:19" ht="33.75" x14ac:dyDescent="0.25">
      <c r="A93" s="149">
        <v>1418312</v>
      </c>
      <c r="B93" s="149">
        <v>8312</v>
      </c>
      <c r="C93" s="149" t="s">
        <v>228</v>
      </c>
      <c r="D93" s="150" t="s">
        <v>382</v>
      </c>
      <c r="E93" s="151"/>
      <c r="F93" s="151"/>
      <c r="G93" s="151"/>
      <c r="H93" s="151"/>
      <c r="I93" s="148">
        <f t="shared" si="15"/>
        <v>0</v>
      </c>
      <c r="J93" s="151">
        <v>705300</v>
      </c>
      <c r="K93" s="151"/>
      <c r="L93" s="151"/>
      <c r="M93" s="151"/>
      <c r="N93" s="151"/>
      <c r="O93" s="148">
        <f t="shared" si="16"/>
        <v>705300</v>
      </c>
      <c r="P93" s="148">
        <f t="shared" si="17"/>
        <v>705300</v>
      </c>
    </row>
    <row r="94" spans="1:19" x14ac:dyDescent="0.25">
      <c r="A94" s="160">
        <v>37</v>
      </c>
      <c r="B94" s="161"/>
      <c r="C94" s="161"/>
      <c r="D94" s="147" t="s">
        <v>229</v>
      </c>
      <c r="E94" s="155">
        <f>SUM(E95:E99)</f>
        <v>10264005</v>
      </c>
      <c r="F94" s="155">
        <f t="shared" ref="F94:N94" si="18">SUM(F95:F99)</f>
        <v>550000</v>
      </c>
      <c r="G94" s="155">
        <f t="shared" si="18"/>
        <v>0</v>
      </c>
      <c r="H94" s="155">
        <f t="shared" si="18"/>
        <v>0</v>
      </c>
      <c r="I94" s="148">
        <f t="shared" si="15"/>
        <v>10814005</v>
      </c>
      <c r="J94" s="155">
        <f t="shared" si="18"/>
        <v>1056000</v>
      </c>
      <c r="K94" s="155">
        <f t="shared" si="18"/>
        <v>0</v>
      </c>
      <c r="L94" s="155">
        <f t="shared" si="18"/>
        <v>0</v>
      </c>
      <c r="M94" s="155">
        <f t="shared" si="18"/>
        <v>0</v>
      </c>
      <c r="N94" s="155">
        <f t="shared" si="18"/>
        <v>0</v>
      </c>
      <c r="O94" s="148">
        <f t="shared" si="16"/>
        <v>1056000</v>
      </c>
      <c r="P94" s="148">
        <f t="shared" si="17"/>
        <v>11870005</v>
      </c>
    </row>
    <row r="95" spans="1:19" ht="33.75" x14ac:dyDescent="0.25">
      <c r="A95" s="149">
        <v>3710160</v>
      </c>
      <c r="B95" s="149" t="s">
        <v>191</v>
      </c>
      <c r="C95" s="149" t="s">
        <v>156</v>
      </c>
      <c r="D95" s="150" t="s">
        <v>192</v>
      </c>
      <c r="E95" s="151">
        <v>4149135</v>
      </c>
      <c r="F95" s="151"/>
      <c r="G95" s="151"/>
      <c r="H95" s="151"/>
      <c r="I95" s="148">
        <f t="shared" si="15"/>
        <v>4149135</v>
      </c>
      <c r="J95" s="151">
        <v>56000</v>
      </c>
      <c r="K95" s="151"/>
      <c r="L95" s="152"/>
      <c r="M95" s="151"/>
      <c r="N95" s="151"/>
      <c r="O95" s="148">
        <f t="shared" si="16"/>
        <v>56000</v>
      </c>
      <c r="P95" s="148">
        <f t="shared" si="17"/>
        <v>4205135</v>
      </c>
    </row>
    <row r="96" spans="1:19" x14ac:dyDescent="0.25">
      <c r="A96" s="149" t="s">
        <v>276</v>
      </c>
      <c r="B96" s="149" t="s">
        <v>298</v>
      </c>
      <c r="C96" s="149" t="s">
        <v>297</v>
      </c>
      <c r="D96" s="150" t="s">
        <v>296</v>
      </c>
      <c r="E96" s="151">
        <v>801170</v>
      </c>
      <c r="F96" s="151"/>
      <c r="G96" s="151"/>
      <c r="H96" s="151"/>
      <c r="I96" s="148">
        <f t="shared" si="15"/>
        <v>801170</v>
      </c>
      <c r="J96" s="151"/>
      <c r="K96" s="151"/>
      <c r="L96" s="152"/>
      <c r="M96" s="151"/>
      <c r="N96" s="151"/>
      <c r="O96" s="148">
        <f t="shared" si="16"/>
        <v>0</v>
      </c>
      <c r="P96" s="148">
        <f t="shared" si="17"/>
        <v>801170</v>
      </c>
    </row>
    <row r="97" spans="1:19" x14ac:dyDescent="0.25">
      <c r="A97" s="149">
        <v>3718710</v>
      </c>
      <c r="B97" s="149">
        <v>8710</v>
      </c>
      <c r="C97" s="149" t="s">
        <v>160</v>
      </c>
      <c r="D97" s="150" t="s">
        <v>366</v>
      </c>
      <c r="E97" s="151"/>
      <c r="F97" s="151">
        <v>550000</v>
      </c>
      <c r="G97" s="151"/>
      <c r="H97" s="151"/>
      <c r="I97" s="148">
        <f t="shared" si="15"/>
        <v>550000</v>
      </c>
      <c r="J97" s="151"/>
      <c r="K97" s="151"/>
      <c r="L97" s="152"/>
      <c r="M97" s="151"/>
      <c r="N97" s="151"/>
      <c r="O97" s="148">
        <f t="shared" si="16"/>
        <v>0</v>
      </c>
      <c r="P97" s="148">
        <f t="shared" si="17"/>
        <v>550000</v>
      </c>
    </row>
    <row r="98" spans="1:19" x14ac:dyDescent="0.25">
      <c r="A98" s="149" t="s">
        <v>479</v>
      </c>
      <c r="B98" s="120">
        <v>9770</v>
      </c>
      <c r="C98" s="125">
        <v>180</v>
      </c>
      <c r="D98" s="121" t="s">
        <v>394</v>
      </c>
      <c r="E98" s="151"/>
      <c r="F98" s="151"/>
      <c r="G98" s="151"/>
      <c r="H98" s="151"/>
      <c r="I98" s="148"/>
      <c r="J98" s="151">
        <v>1000000</v>
      </c>
      <c r="K98" s="151"/>
      <c r="L98" s="152"/>
      <c r="M98" s="151"/>
      <c r="N98" s="151"/>
      <c r="O98" s="148">
        <f t="shared" si="16"/>
        <v>1000000</v>
      </c>
      <c r="P98" s="148">
        <f t="shared" si="17"/>
        <v>1000000</v>
      </c>
    </row>
    <row r="99" spans="1:19" x14ac:dyDescent="0.25">
      <c r="A99" s="149" t="s">
        <v>244</v>
      </c>
      <c r="B99" s="149" t="s">
        <v>245</v>
      </c>
      <c r="C99" s="149" t="s">
        <v>159</v>
      </c>
      <c r="D99" s="165" t="s">
        <v>246</v>
      </c>
      <c r="E99" s="151">
        <v>5313700</v>
      </c>
      <c r="F99" s="151"/>
      <c r="G99" s="151"/>
      <c r="H99" s="151"/>
      <c r="I99" s="148">
        <f t="shared" si="15"/>
        <v>5313700</v>
      </c>
      <c r="J99" s="151"/>
      <c r="K99" s="151"/>
      <c r="L99" s="151"/>
      <c r="M99" s="151"/>
      <c r="N99" s="151"/>
      <c r="O99" s="148">
        <f t="shared" si="16"/>
        <v>0</v>
      </c>
      <c r="P99" s="148">
        <f t="shared" si="17"/>
        <v>5313700</v>
      </c>
    </row>
    <row r="100" spans="1:19" x14ac:dyDescent="0.25">
      <c r="A100" s="161"/>
      <c r="B100" s="161"/>
      <c r="C100" s="161"/>
      <c r="D100" s="166" t="s">
        <v>58</v>
      </c>
      <c r="E100" s="155">
        <f>SUM(E11+E33+E49+E53+E62+E69+E88+E94)</f>
        <v>659022786.09000003</v>
      </c>
      <c r="F100" s="155">
        <f>SUM(F11+F33+F49+F53+F62+F69+F88+F94)</f>
        <v>-2593934</v>
      </c>
      <c r="G100" s="155">
        <f>SUM(G11+G33+G49+G53+G62+G69+G88+G94)</f>
        <v>3196800</v>
      </c>
      <c r="H100" s="155">
        <f>SUM(H11+H33+H49+H53+H62+H69+H88+H94)</f>
        <v>0</v>
      </c>
      <c r="I100" s="148">
        <f t="shared" si="15"/>
        <v>656428852.09000003</v>
      </c>
      <c r="J100" s="155">
        <f t="shared" ref="J100:O100" si="19">SUM(J11+J33+J49+J53+J62+J69+J88+J94)</f>
        <v>145212327</v>
      </c>
      <c r="K100" s="155">
        <f t="shared" si="19"/>
        <v>11024460</v>
      </c>
      <c r="L100" s="155">
        <f t="shared" si="19"/>
        <v>0</v>
      </c>
      <c r="M100" s="155">
        <f t="shared" si="19"/>
        <v>11024460</v>
      </c>
      <c r="N100" s="240">
        <f t="shared" si="19"/>
        <v>11024460</v>
      </c>
      <c r="O100" s="155">
        <f t="shared" si="19"/>
        <v>156236787</v>
      </c>
      <c r="P100" s="148">
        <f t="shared" si="17"/>
        <v>812665639.09000003</v>
      </c>
    </row>
    <row r="101" spans="1:19" ht="14.45" x14ac:dyDescent="0.3">
      <c r="E101" s="84"/>
    </row>
    <row r="102" spans="1:19" ht="18.75" x14ac:dyDescent="0.3">
      <c r="B102" s="27" t="s">
        <v>230</v>
      </c>
      <c r="F102" s="35"/>
      <c r="G102" s="59"/>
      <c r="I102" s="35"/>
      <c r="K102" s="27" t="s">
        <v>231</v>
      </c>
      <c r="O102" s="35"/>
      <c r="P102" s="210"/>
      <c r="S102" s="35"/>
    </row>
    <row r="103" spans="1:19" ht="14.45" x14ac:dyDescent="0.3">
      <c r="F103" s="35"/>
      <c r="G103" s="35"/>
      <c r="O103" s="59"/>
      <c r="P103" s="210"/>
    </row>
    <row r="104" spans="1:19" x14ac:dyDescent="0.25">
      <c r="F104" s="35"/>
      <c r="O104" s="35"/>
      <c r="P104" s="210"/>
    </row>
    <row r="105" spans="1:19" x14ac:dyDescent="0.25">
      <c r="F105" s="35"/>
      <c r="K105" s="35"/>
      <c r="P105" s="210"/>
      <c r="S105" s="35"/>
    </row>
    <row r="106" spans="1:19" x14ac:dyDescent="0.25">
      <c r="F106" s="35"/>
      <c r="P106" s="210"/>
    </row>
    <row r="107" spans="1:19" x14ac:dyDescent="0.25">
      <c r="O107" s="59"/>
      <c r="P107" s="210"/>
    </row>
    <row r="108" spans="1:19" x14ac:dyDescent="0.25">
      <c r="O108" s="35"/>
    </row>
  </sheetData>
  <mergeCells count="19">
    <mergeCell ref="M8:M9"/>
    <mergeCell ref="E7:E9"/>
    <mergeCell ref="F7:H7"/>
    <mergeCell ref="I7:I9"/>
    <mergeCell ref="F8:F9"/>
    <mergeCell ref="G8:H8"/>
    <mergeCell ref="A3:P3"/>
    <mergeCell ref="E6:I6"/>
    <mergeCell ref="J6:O6"/>
    <mergeCell ref="P6:P9"/>
    <mergeCell ref="D6:D9"/>
    <mergeCell ref="C6:C9"/>
    <mergeCell ref="B6:B9"/>
    <mergeCell ref="A6:A9"/>
    <mergeCell ref="J7:J9"/>
    <mergeCell ref="K7:N7"/>
    <mergeCell ref="O7:O9"/>
    <mergeCell ref="K8:K9"/>
    <mergeCell ref="L8:L9"/>
  </mergeCells>
  <pageMargins left="0.70866141732283472" right="0.31496062992125984" top="0.55118110236220474" bottom="0.55118110236220474" header="0.11811023622047245" footer="0.11811023622047245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workbookViewId="0"/>
  </sheetViews>
  <sheetFormatPr defaultRowHeight="15" x14ac:dyDescent="0.25"/>
  <cols>
    <col min="1" max="1" width="14.85546875" customWidth="1"/>
    <col min="2" max="2" width="13.7109375" customWidth="1"/>
    <col min="3" max="3" width="78" customWidth="1"/>
    <col min="4" max="4" width="15.28515625" customWidth="1"/>
    <col min="5" max="5" width="12.7109375" customWidth="1"/>
    <col min="6" max="6" width="13.28515625" customWidth="1"/>
    <col min="7" max="7" width="11.42578125" bestFit="1" customWidth="1"/>
  </cols>
  <sheetData>
    <row r="1" spans="1:4" ht="18.75" x14ac:dyDescent="0.25">
      <c r="A1" s="28"/>
      <c r="B1" s="276" t="s">
        <v>471</v>
      </c>
      <c r="C1" s="276"/>
      <c r="D1" s="276"/>
    </row>
    <row r="2" spans="1:4" ht="18.75" x14ac:dyDescent="0.25">
      <c r="A2" s="1"/>
      <c r="B2" s="277" t="s">
        <v>495</v>
      </c>
      <c r="C2" s="277"/>
      <c r="D2" s="277"/>
    </row>
    <row r="3" spans="1:4" ht="18.75" x14ac:dyDescent="0.25">
      <c r="A3" s="29"/>
      <c r="B3" s="26"/>
      <c r="C3" s="26"/>
    </row>
    <row r="4" spans="1:4" ht="18.75" x14ac:dyDescent="0.25">
      <c r="A4" s="293" t="s">
        <v>358</v>
      </c>
      <c r="B4" s="293"/>
      <c r="C4" s="293"/>
      <c r="D4" s="293"/>
    </row>
    <row r="5" spans="1:4" ht="18.75" x14ac:dyDescent="0.3">
      <c r="A5" s="294" t="s">
        <v>359</v>
      </c>
      <c r="B5" s="294"/>
      <c r="C5" s="294"/>
      <c r="D5" s="294"/>
    </row>
    <row r="6" spans="1:4" ht="18.75" x14ac:dyDescent="0.25">
      <c r="A6" s="29"/>
      <c r="B6" s="26"/>
      <c r="C6" s="26"/>
    </row>
    <row r="7" spans="1:4" ht="15.75" x14ac:dyDescent="0.25">
      <c r="A7" s="292" t="s">
        <v>314</v>
      </c>
      <c r="B7" s="292"/>
      <c r="C7" s="292"/>
    </row>
    <row r="8" spans="1:4" ht="15.75" x14ac:dyDescent="0.25">
      <c r="A8" s="68" t="s">
        <v>333</v>
      </c>
      <c r="B8" s="26"/>
      <c r="C8" s="26"/>
    </row>
    <row r="9" spans="1:4" ht="15.75" x14ac:dyDescent="0.25">
      <c r="A9" s="26"/>
      <c r="B9" s="26"/>
      <c r="C9" s="64"/>
      <c r="D9" s="204" t="s">
        <v>137</v>
      </c>
    </row>
    <row r="10" spans="1:4" ht="40.5" customHeight="1" x14ac:dyDescent="0.25">
      <c r="A10" s="208" t="s">
        <v>315</v>
      </c>
      <c r="B10" s="256" t="s">
        <v>316</v>
      </c>
      <c r="C10" s="256"/>
      <c r="D10" s="208" t="s">
        <v>6</v>
      </c>
    </row>
    <row r="11" spans="1:4" ht="15.75" x14ac:dyDescent="0.25">
      <c r="A11" s="69">
        <v>1</v>
      </c>
      <c r="B11" s="295">
        <v>2</v>
      </c>
      <c r="C11" s="295"/>
      <c r="D11" s="69">
        <v>3</v>
      </c>
    </row>
    <row r="12" spans="1:4" x14ac:dyDescent="0.25">
      <c r="A12" s="287" t="s">
        <v>317</v>
      </c>
      <c r="B12" s="287"/>
      <c r="C12" s="287"/>
      <c r="D12" s="287"/>
    </row>
    <row r="13" spans="1:4" x14ac:dyDescent="0.25">
      <c r="A13" s="70">
        <v>41030000</v>
      </c>
      <c r="B13" s="288" t="s">
        <v>127</v>
      </c>
      <c r="C13" s="288"/>
      <c r="D13" s="14">
        <f>SUM(D14:D17)</f>
        <v>142342200</v>
      </c>
    </row>
    <row r="14" spans="1:4" x14ac:dyDescent="0.25">
      <c r="A14" s="21">
        <v>41033900</v>
      </c>
      <c r="B14" s="289" t="s">
        <v>128</v>
      </c>
      <c r="C14" s="289"/>
      <c r="D14" s="17">
        <v>129546700</v>
      </c>
    </row>
    <row r="15" spans="1:4" ht="25.5" customHeight="1" x14ac:dyDescent="0.25">
      <c r="A15" s="21">
        <v>41035400</v>
      </c>
      <c r="B15" s="290" t="s">
        <v>362</v>
      </c>
      <c r="C15" s="291"/>
      <c r="D15" s="17">
        <v>839300</v>
      </c>
    </row>
    <row r="16" spans="1:4" ht="25.5" customHeight="1" x14ac:dyDescent="0.25">
      <c r="A16" s="21">
        <v>41036000</v>
      </c>
      <c r="B16" s="290" t="s">
        <v>360</v>
      </c>
      <c r="C16" s="291"/>
      <c r="D16" s="17">
        <v>2451400</v>
      </c>
    </row>
    <row r="17" spans="1:4" ht="27" customHeight="1" x14ac:dyDescent="0.25">
      <c r="A17" s="21">
        <v>41036300</v>
      </c>
      <c r="B17" s="290" t="s">
        <v>361</v>
      </c>
      <c r="C17" s="291"/>
      <c r="D17" s="17">
        <v>9504800</v>
      </c>
    </row>
    <row r="18" spans="1:4" x14ac:dyDescent="0.25">
      <c r="A18" s="71">
        <v>41050000</v>
      </c>
      <c r="B18" s="281" t="s">
        <v>129</v>
      </c>
      <c r="C18" s="281"/>
      <c r="D18" s="13">
        <f>SUM(D19+D20+D21+D22+D23+D24+D26)</f>
        <v>2683315.09</v>
      </c>
    </row>
    <row r="19" spans="1:4" ht="28.5" customHeight="1" x14ac:dyDescent="0.25">
      <c r="A19" s="20">
        <v>41051000</v>
      </c>
      <c r="B19" s="301" t="s">
        <v>130</v>
      </c>
      <c r="C19" s="301"/>
      <c r="D19" s="19">
        <v>2026900</v>
      </c>
    </row>
    <row r="20" spans="1:4" ht="29.25" customHeight="1" x14ac:dyDescent="0.25">
      <c r="A20" s="20">
        <v>41053900</v>
      </c>
      <c r="B20" s="302" t="s">
        <v>318</v>
      </c>
      <c r="C20" s="302"/>
      <c r="D20" s="19">
        <v>13420</v>
      </c>
    </row>
    <row r="21" spans="1:4" ht="27" customHeight="1" x14ac:dyDescent="0.25">
      <c r="A21" s="20">
        <v>41053900</v>
      </c>
      <c r="B21" s="302" t="s">
        <v>319</v>
      </c>
      <c r="C21" s="302"/>
      <c r="D21" s="19">
        <v>56925</v>
      </c>
    </row>
    <row r="22" spans="1:4" x14ac:dyDescent="0.25">
      <c r="A22" s="20">
        <v>41053900</v>
      </c>
      <c r="B22" s="302" t="s">
        <v>320</v>
      </c>
      <c r="C22" s="302"/>
      <c r="D22" s="19">
        <v>72000</v>
      </c>
    </row>
    <row r="23" spans="1:4" ht="27" customHeight="1" x14ac:dyDescent="0.25">
      <c r="A23" s="20">
        <v>41053900</v>
      </c>
      <c r="B23" s="299" t="s">
        <v>378</v>
      </c>
      <c r="C23" s="300"/>
      <c r="D23" s="17">
        <v>200000</v>
      </c>
    </row>
    <row r="24" spans="1:4" ht="42.75" customHeight="1" x14ac:dyDescent="0.25">
      <c r="A24" s="90">
        <v>41059300</v>
      </c>
      <c r="B24" s="290" t="s">
        <v>377</v>
      </c>
      <c r="C24" s="291"/>
      <c r="D24" s="17">
        <v>243798.09</v>
      </c>
    </row>
    <row r="25" spans="1:4" x14ac:dyDescent="0.25">
      <c r="A25" s="305" t="s">
        <v>489</v>
      </c>
      <c r="B25" s="306"/>
      <c r="C25" s="306"/>
      <c r="D25" s="307"/>
    </row>
    <row r="26" spans="1:4" ht="27" customHeight="1" x14ac:dyDescent="0.25">
      <c r="A26" s="124">
        <v>41057700</v>
      </c>
      <c r="B26" s="303" t="s">
        <v>488</v>
      </c>
      <c r="C26" s="304"/>
      <c r="D26" s="17">
        <v>70272</v>
      </c>
    </row>
    <row r="27" spans="1:4" x14ac:dyDescent="0.25">
      <c r="A27" s="281" t="s">
        <v>321</v>
      </c>
      <c r="B27" s="281"/>
      <c r="C27" s="281"/>
      <c r="D27" s="281"/>
    </row>
    <row r="28" spans="1:4" x14ac:dyDescent="0.25">
      <c r="A28" s="117">
        <v>41050000</v>
      </c>
      <c r="B28" s="281" t="s">
        <v>129</v>
      </c>
      <c r="C28" s="281"/>
      <c r="D28" s="118">
        <f>D29+D30</f>
        <v>950000</v>
      </c>
    </row>
    <row r="29" spans="1:4" ht="36" customHeight="1" x14ac:dyDescent="0.25">
      <c r="A29" s="20">
        <v>41053900</v>
      </c>
      <c r="B29" s="282" t="s">
        <v>379</v>
      </c>
      <c r="C29" s="283"/>
      <c r="D29" s="19">
        <f>350000-50000</f>
        <v>300000</v>
      </c>
    </row>
    <row r="30" spans="1:4" ht="27.75" customHeight="1" x14ac:dyDescent="0.25">
      <c r="A30" s="20">
        <v>41053900</v>
      </c>
      <c r="B30" s="282" t="s">
        <v>380</v>
      </c>
      <c r="C30" s="283"/>
      <c r="D30" s="19">
        <v>650000</v>
      </c>
    </row>
    <row r="31" spans="1:4" x14ac:dyDescent="0.25">
      <c r="A31" s="79" t="s">
        <v>232</v>
      </c>
      <c r="B31" s="284" t="s">
        <v>322</v>
      </c>
      <c r="C31" s="284"/>
      <c r="D31" s="13">
        <f>SUM(D32+D33)</f>
        <v>145975515.09</v>
      </c>
    </row>
    <row r="32" spans="1:4" x14ac:dyDescent="0.25">
      <c r="A32" s="79" t="s">
        <v>232</v>
      </c>
      <c r="B32" s="284" t="s">
        <v>323</v>
      </c>
      <c r="C32" s="284"/>
      <c r="D32" s="13">
        <f>SUM(D13+D18)</f>
        <v>145025515.09</v>
      </c>
    </row>
    <row r="33" spans="1:13" x14ac:dyDescent="0.25">
      <c r="A33" s="79" t="s">
        <v>232</v>
      </c>
      <c r="B33" s="284" t="s">
        <v>324</v>
      </c>
      <c r="C33" s="284"/>
      <c r="D33" s="13">
        <f>D28</f>
        <v>950000</v>
      </c>
    </row>
    <row r="34" spans="1:13" ht="9" customHeight="1" x14ac:dyDescent="0.3">
      <c r="A34" s="29"/>
      <c r="B34" s="26"/>
      <c r="C34" s="26"/>
    </row>
    <row r="35" spans="1:13" ht="15.75" x14ac:dyDescent="0.25">
      <c r="A35" s="286" t="s">
        <v>325</v>
      </c>
      <c r="B35" s="286"/>
      <c r="C35" s="286"/>
      <c r="D35" s="72"/>
    </row>
    <row r="36" spans="1:13" x14ac:dyDescent="0.25">
      <c r="A36" s="72"/>
      <c r="B36" s="72"/>
      <c r="C36" s="72"/>
      <c r="D36" s="73" t="s">
        <v>326</v>
      </c>
    </row>
    <row r="37" spans="1:13" ht="18.75" x14ac:dyDescent="0.3">
      <c r="A37" s="257" t="s">
        <v>327</v>
      </c>
      <c r="B37" s="257" t="s">
        <v>328</v>
      </c>
      <c r="C37" s="257" t="s">
        <v>329</v>
      </c>
      <c r="D37" s="257" t="s">
        <v>58</v>
      </c>
      <c r="M37" s="30"/>
    </row>
    <row r="38" spans="1:13" ht="66.75" customHeight="1" x14ac:dyDescent="0.25">
      <c r="A38" s="257"/>
      <c r="B38" s="257"/>
      <c r="C38" s="257"/>
      <c r="D38" s="257"/>
    </row>
    <row r="39" spans="1:13" ht="14.45" x14ac:dyDescent="0.3">
      <c r="A39" s="31">
        <v>1</v>
      </c>
      <c r="B39" s="31">
        <v>2</v>
      </c>
      <c r="C39" s="31">
        <v>3</v>
      </c>
      <c r="D39" s="31">
        <v>4</v>
      </c>
    </row>
    <row r="40" spans="1:13" x14ac:dyDescent="0.25">
      <c r="A40" s="285" t="s">
        <v>330</v>
      </c>
      <c r="B40" s="285"/>
      <c r="C40" s="285"/>
      <c r="D40" s="285"/>
    </row>
    <row r="41" spans="1:13" x14ac:dyDescent="0.25">
      <c r="A41" s="278" t="s">
        <v>424</v>
      </c>
      <c r="B41" s="279"/>
      <c r="C41" s="280"/>
      <c r="D41" s="105">
        <f>SUM(D42:D50)</f>
        <v>7143700</v>
      </c>
    </row>
    <row r="42" spans="1:13" x14ac:dyDescent="0.25">
      <c r="A42" s="74" t="s">
        <v>244</v>
      </c>
      <c r="B42" s="80">
        <v>9110</v>
      </c>
      <c r="C42" s="75" t="s">
        <v>246</v>
      </c>
      <c r="D42" s="32">
        <v>5313700</v>
      </c>
    </row>
    <row r="43" spans="1:13" ht="38.25" x14ac:dyDescent="0.25">
      <c r="A43" s="74" t="s">
        <v>408</v>
      </c>
      <c r="B43" s="122">
        <v>9800</v>
      </c>
      <c r="C43" s="134" t="s">
        <v>409</v>
      </c>
      <c r="D43" s="32">
        <v>500000</v>
      </c>
      <c r="F43" s="35"/>
    </row>
    <row r="44" spans="1:13" ht="51" x14ac:dyDescent="0.25">
      <c r="A44" s="74" t="s">
        <v>408</v>
      </c>
      <c r="B44" s="122">
        <v>9800</v>
      </c>
      <c r="C44" s="136" t="s">
        <v>410</v>
      </c>
      <c r="D44" s="32">
        <v>100000</v>
      </c>
    </row>
    <row r="45" spans="1:13" ht="51" x14ac:dyDescent="0.25">
      <c r="A45" s="74" t="s">
        <v>408</v>
      </c>
      <c r="B45" s="207">
        <v>9800</v>
      </c>
      <c r="C45" s="142" t="s">
        <v>412</v>
      </c>
      <c r="D45" s="32">
        <v>400000</v>
      </c>
    </row>
    <row r="46" spans="1:13" ht="51" x14ac:dyDescent="0.25">
      <c r="A46" s="74" t="s">
        <v>408</v>
      </c>
      <c r="B46" s="207">
        <v>9800</v>
      </c>
      <c r="C46" s="137" t="s">
        <v>451</v>
      </c>
      <c r="D46" s="32">
        <v>500000</v>
      </c>
    </row>
    <row r="47" spans="1:13" ht="63.75" x14ac:dyDescent="0.25">
      <c r="A47" s="74" t="s">
        <v>408</v>
      </c>
      <c r="B47" s="207">
        <v>9800</v>
      </c>
      <c r="C47" s="137" t="s">
        <v>476</v>
      </c>
      <c r="D47" s="32">
        <v>250000</v>
      </c>
    </row>
    <row r="48" spans="1:13" x14ac:dyDescent="0.25">
      <c r="A48" s="296" t="s">
        <v>489</v>
      </c>
      <c r="B48" s="297"/>
      <c r="C48" s="297"/>
      <c r="D48" s="298"/>
    </row>
    <row r="49" spans="1:7" ht="45" customHeight="1" x14ac:dyDescent="0.25">
      <c r="A49" s="74" t="s">
        <v>399</v>
      </c>
      <c r="B49" s="140">
        <v>9770</v>
      </c>
      <c r="C49" s="137" t="s">
        <v>496</v>
      </c>
      <c r="D49" s="243">
        <v>20000</v>
      </c>
    </row>
    <row r="50" spans="1:7" ht="51" x14ac:dyDescent="0.25">
      <c r="A50" s="74" t="s">
        <v>408</v>
      </c>
      <c r="B50" s="207">
        <v>9800</v>
      </c>
      <c r="C50" s="142" t="s">
        <v>492</v>
      </c>
      <c r="D50" s="32">
        <v>60000</v>
      </c>
    </row>
    <row r="51" spans="1:7" x14ac:dyDescent="0.25">
      <c r="A51" s="285" t="s">
        <v>331</v>
      </c>
      <c r="B51" s="285"/>
      <c r="C51" s="285"/>
      <c r="D51" s="285"/>
    </row>
    <row r="52" spans="1:7" x14ac:dyDescent="0.25">
      <c r="A52" s="278" t="s">
        <v>424</v>
      </c>
      <c r="B52" s="279"/>
      <c r="C52" s="280"/>
      <c r="D52" s="138">
        <f>SUM(D53:D77)</f>
        <v>13145000</v>
      </c>
    </row>
    <row r="53" spans="1:7" ht="38.25" x14ac:dyDescent="0.25">
      <c r="A53" s="74" t="s">
        <v>399</v>
      </c>
      <c r="B53" s="140">
        <v>9770</v>
      </c>
      <c r="C53" s="137" t="s">
        <v>443</v>
      </c>
      <c r="D53" s="139">
        <v>700000</v>
      </c>
    </row>
    <row r="54" spans="1:7" ht="51" x14ac:dyDescent="0.25">
      <c r="A54" s="74" t="s">
        <v>399</v>
      </c>
      <c r="B54" s="140">
        <v>9770</v>
      </c>
      <c r="C54" s="137" t="s">
        <v>485</v>
      </c>
      <c r="D54" s="139">
        <v>1450000</v>
      </c>
    </row>
    <row r="55" spans="1:7" ht="25.5" x14ac:dyDescent="0.25">
      <c r="A55" s="74" t="s">
        <v>399</v>
      </c>
      <c r="B55" s="140">
        <v>9770</v>
      </c>
      <c r="C55" s="137" t="s">
        <v>484</v>
      </c>
      <c r="D55" s="139">
        <v>1540000</v>
      </c>
    </row>
    <row r="56" spans="1:7" ht="38.25" x14ac:dyDescent="0.25">
      <c r="A56" s="74" t="s">
        <v>400</v>
      </c>
      <c r="B56" s="140">
        <v>9770</v>
      </c>
      <c r="C56" s="137" t="s">
        <v>432</v>
      </c>
      <c r="D56" s="139">
        <v>300000</v>
      </c>
      <c r="F56" s="35"/>
    </row>
    <row r="57" spans="1:7" ht="63.75" x14ac:dyDescent="0.25">
      <c r="A57" s="74" t="s">
        <v>408</v>
      </c>
      <c r="B57" s="140">
        <v>9800</v>
      </c>
      <c r="C57" s="137" t="s">
        <v>423</v>
      </c>
      <c r="D57" s="139">
        <v>300000</v>
      </c>
      <c r="F57" s="35"/>
    </row>
    <row r="58" spans="1:7" ht="63.75" x14ac:dyDescent="0.25">
      <c r="A58" s="74" t="s">
        <v>408</v>
      </c>
      <c r="B58" s="140">
        <v>9800</v>
      </c>
      <c r="C58" s="135" t="s">
        <v>422</v>
      </c>
      <c r="D58" s="139">
        <v>150000</v>
      </c>
      <c r="F58" s="35"/>
      <c r="G58" s="35"/>
    </row>
    <row r="59" spans="1:7" ht="51" x14ac:dyDescent="0.25">
      <c r="A59" s="74" t="s">
        <v>408</v>
      </c>
      <c r="B59" s="140">
        <v>9800</v>
      </c>
      <c r="C59" s="137" t="s">
        <v>411</v>
      </c>
      <c r="D59" s="139">
        <v>250000</v>
      </c>
      <c r="F59" s="35"/>
    </row>
    <row r="60" spans="1:7" ht="51" x14ac:dyDescent="0.25">
      <c r="A60" s="74" t="s">
        <v>408</v>
      </c>
      <c r="B60" s="140">
        <v>9800</v>
      </c>
      <c r="C60" s="137" t="s">
        <v>413</v>
      </c>
      <c r="D60" s="139">
        <v>350000</v>
      </c>
    </row>
    <row r="61" spans="1:7" ht="51" x14ac:dyDescent="0.25">
      <c r="A61" s="74" t="s">
        <v>408</v>
      </c>
      <c r="B61" s="140">
        <v>9800</v>
      </c>
      <c r="C61" s="137" t="s">
        <v>414</v>
      </c>
      <c r="D61" s="139">
        <v>500000</v>
      </c>
    </row>
    <row r="62" spans="1:7" ht="51" x14ac:dyDescent="0.25">
      <c r="A62" s="74" t="s">
        <v>408</v>
      </c>
      <c r="B62" s="140">
        <v>9800</v>
      </c>
      <c r="C62" s="137" t="s">
        <v>415</v>
      </c>
      <c r="D62" s="139">
        <v>500000</v>
      </c>
    </row>
    <row r="63" spans="1:7" ht="51" x14ac:dyDescent="0.25">
      <c r="A63" s="74" t="s">
        <v>408</v>
      </c>
      <c r="B63" s="140">
        <v>9800</v>
      </c>
      <c r="C63" s="137" t="s">
        <v>455</v>
      </c>
      <c r="D63" s="139">
        <v>500000</v>
      </c>
    </row>
    <row r="64" spans="1:7" ht="51" x14ac:dyDescent="0.25">
      <c r="A64" s="74" t="s">
        <v>408</v>
      </c>
      <c r="B64" s="140">
        <v>9800</v>
      </c>
      <c r="C64" s="137" t="s">
        <v>456</v>
      </c>
      <c r="D64" s="139">
        <v>500000</v>
      </c>
    </row>
    <row r="65" spans="1:7" ht="51" x14ac:dyDescent="0.25">
      <c r="A65" s="74" t="s">
        <v>408</v>
      </c>
      <c r="B65" s="140">
        <v>9800</v>
      </c>
      <c r="C65" s="137" t="s">
        <v>457</v>
      </c>
      <c r="D65" s="139">
        <v>500000</v>
      </c>
    </row>
    <row r="66" spans="1:7" ht="51" x14ac:dyDescent="0.25">
      <c r="A66" s="74" t="s">
        <v>408</v>
      </c>
      <c r="B66" s="140">
        <v>9800</v>
      </c>
      <c r="C66" s="137" t="s">
        <v>458</v>
      </c>
      <c r="D66" s="139">
        <v>500000</v>
      </c>
    </row>
    <row r="67" spans="1:7" ht="51" customHeight="1" x14ac:dyDescent="0.25">
      <c r="A67" s="74" t="s">
        <v>408</v>
      </c>
      <c r="B67" s="140">
        <v>9800</v>
      </c>
      <c r="C67" s="137" t="s">
        <v>459</v>
      </c>
      <c r="D67" s="139">
        <v>500000</v>
      </c>
    </row>
    <row r="68" spans="1:7" ht="51" x14ac:dyDescent="0.25">
      <c r="A68" s="74" t="s">
        <v>408</v>
      </c>
      <c r="B68" s="140">
        <v>9800</v>
      </c>
      <c r="C68" s="137" t="s">
        <v>416</v>
      </c>
      <c r="D68" s="139">
        <v>500000</v>
      </c>
    </row>
    <row r="69" spans="1:7" ht="51" x14ac:dyDescent="0.25">
      <c r="A69" s="74" t="s">
        <v>408</v>
      </c>
      <c r="B69" s="140">
        <v>9800</v>
      </c>
      <c r="C69" s="137" t="s">
        <v>460</v>
      </c>
      <c r="D69" s="139">
        <v>500000</v>
      </c>
      <c r="G69" s="35"/>
    </row>
    <row r="70" spans="1:7" ht="61.15" customHeight="1" x14ac:dyDescent="0.25">
      <c r="A70" s="74" t="s">
        <v>408</v>
      </c>
      <c r="B70" s="140">
        <v>9800</v>
      </c>
      <c r="C70" s="137" t="s">
        <v>417</v>
      </c>
      <c r="D70" s="139">
        <v>500000</v>
      </c>
    </row>
    <row r="71" spans="1:7" ht="38.25" x14ac:dyDescent="0.25">
      <c r="A71" s="149" t="s">
        <v>479</v>
      </c>
      <c r="B71" s="74" t="s">
        <v>480</v>
      </c>
      <c r="C71" s="242" t="s">
        <v>481</v>
      </c>
      <c r="D71" s="243">
        <v>1000000</v>
      </c>
    </row>
    <row r="72" spans="1:7" ht="38.25" x14ac:dyDescent="0.25">
      <c r="A72" s="74" t="s">
        <v>408</v>
      </c>
      <c r="B72" s="140">
        <v>9800</v>
      </c>
      <c r="C72" s="137" t="s">
        <v>478</v>
      </c>
      <c r="D72" s="139">
        <v>80000</v>
      </c>
    </row>
    <row r="73" spans="1:7" x14ac:dyDescent="0.25">
      <c r="A73" s="296" t="s">
        <v>489</v>
      </c>
      <c r="B73" s="297"/>
      <c r="C73" s="297"/>
      <c r="D73" s="298"/>
    </row>
    <row r="74" spans="1:7" ht="51" x14ac:dyDescent="0.25">
      <c r="A74" s="74" t="s">
        <v>408</v>
      </c>
      <c r="B74" s="140">
        <v>9800</v>
      </c>
      <c r="C74" s="137" t="s">
        <v>459</v>
      </c>
      <c r="D74" s="243">
        <f>602000+135000</f>
        <v>737000</v>
      </c>
    </row>
    <row r="75" spans="1:7" ht="51" x14ac:dyDescent="0.25">
      <c r="A75" s="74" t="s">
        <v>408</v>
      </c>
      <c r="B75" s="140">
        <v>9800</v>
      </c>
      <c r="C75" s="137" t="s">
        <v>493</v>
      </c>
      <c r="D75" s="243">
        <v>478000</v>
      </c>
    </row>
    <row r="76" spans="1:7" ht="51" x14ac:dyDescent="0.25">
      <c r="A76" s="74" t="s">
        <v>408</v>
      </c>
      <c r="B76" s="140">
        <v>9800</v>
      </c>
      <c r="C76" s="137" t="s">
        <v>497</v>
      </c>
      <c r="D76" s="243">
        <v>350000</v>
      </c>
    </row>
    <row r="77" spans="1:7" ht="51" x14ac:dyDescent="0.25">
      <c r="A77" s="74" t="s">
        <v>408</v>
      </c>
      <c r="B77" s="140">
        <v>9800</v>
      </c>
      <c r="C77" s="137" t="s">
        <v>455</v>
      </c>
      <c r="D77" s="139">
        <f>380000+80000</f>
        <v>460000</v>
      </c>
    </row>
    <row r="78" spans="1:7" x14ac:dyDescent="0.25">
      <c r="A78" s="33" t="s">
        <v>232</v>
      </c>
      <c r="B78" s="33" t="s">
        <v>232</v>
      </c>
      <c r="C78" s="77" t="s">
        <v>332</v>
      </c>
      <c r="D78" s="78">
        <f>SUM(D79:D80)</f>
        <v>20288700</v>
      </c>
    </row>
    <row r="79" spans="1:7" x14ac:dyDescent="0.25">
      <c r="A79" s="33" t="s">
        <v>232</v>
      </c>
      <c r="B79" s="33" t="s">
        <v>232</v>
      </c>
      <c r="C79" s="77" t="s">
        <v>323</v>
      </c>
      <c r="D79" s="78">
        <f>SUM(D41)</f>
        <v>7143700</v>
      </c>
    </row>
    <row r="80" spans="1:7" x14ac:dyDescent="0.25">
      <c r="A80" s="33" t="s">
        <v>232</v>
      </c>
      <c r="B80" s="33" t="s">
        <v>232</v>
      </c>
      <c r="C80" s="77" t="s">
        <v>324</v>
      </c>
      <c r="D80" s="78">
        <f>SUM(D52)</f>
        <v>13145000</v>
      </c>
    </row>
    <row r="81" spans="1:4" x14ac:dyDescent="0.25">
      <c r="A81" s="65"/>
      <c r="B81" s="67"/>
      <c r="C81" s="66"/>
    </row>
    <row r="82" spans="1:4" ht="18.75" x14ac:dyDescent="0.3">
      <c r="A82" s="27" t="s">
        <v>233</v>
      </c>
      <c r="C82" s="27"/>
      <c r="D82" s="27"/>
    </row>
    <row r="83" spans="1:4" x14ac:dyDescent="0.25">
      <c r="D83" s="35"/>
    </row>
  </sheetData>
  <mergeCells count="40">
    <mergeCell ref="A48:D48"/>
    <mergeCell ref="A73:D73"/>
    <mergeCell ref="D37:D38"/>
    <mergeCell ref="A41:C41"/>
    <mergeCell ref="B15:C15"/>
    <mergeCell ref="B16:C16"/>
    <mergeCell ref="B23:C23"/>
    <mergeCell ref="B19:C19"/>
    <mergeCell ref="B20:C20"/>
    <mergeCell ref="B21:C21"/>
    <mergeCell ref="B26:C26"/>
    <mergeCell ref="B22:C22"/>
    <mergeCell ref="B24:C24"/>
    <mergeCell ref="A25:D25"/>
    <mergeCell ref="A7:C7"/>
    <mergeCell ref="A4:D4"/>
    <mergeCell ref="A5:D5"/>
    <mergeCell ref="B10:C10"/>
    <mergeCell ref="B11:C11"/>
    <mergeCell ref="A12:D12"/>
    <mergeCell ref="B13:C13"/>
    <mergeCell ref="B14:C14"/>
    <mergeCell ref="B17:C17"/>
    <mergeCell ref="B18:C18"/>
    <mergeCell ref="B1:D1"/>
    <mergeCell ref="B2:D2"/>
    <mergeCell ref="A52:C52"/>
    <mergeCell ref="A27:D27"/>
    <mergeCell ref="B30:C30"/>
    <mergeCell ref="B31:C31"/>
    <mergeCell ref="B32:C32"/>
    <mergeCell ref="B33:C33"/>
    <mergeCell ref="B28:C28"/>
    <mergeCell ref="B29:C29"/>
    <mergeCell ref="A40:D40"/>
    <mergeCell ref="A51:D51"/>
    <mergeCell ref="A35:C35"/>
    <mergeCell ref="A37:A38"/>
    <mergeCell ref="B37:B38"/>
    <mergeCell ref="C37:C38"/>
  </mergeCells>
  <pageMargins left="0.70866141732283472" right="0.31496062992125984" top="0.74803149606299213" bottom="0.55118110236220474" header="0.11811023622047245" footer="0.11811023622047245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zoomScaleNormal="100" workbookViewId="0"/>
  </sheetViews>
  <sheetFormatPr defaultRowHeight="15" x14ac:dyDescent="0.25"/>
  <cols>
    <col min="1" max="1" width="11.42578125" customWidth="1"/>
    <col min="2" max="2" width="10.7109375" customWidth="1"/>
    <col min="3" max="3" width="10.42578125" customWidth="1"/>
    <col min="4" max="4" width="31" customWidth="1"/>
    <col min="5" max="5" width="33" customWidth="1"/>
    <col min="6" max="6" width="12.42578125" customWidth="1"/>
    <col min="7" max="7" width="12" customWidth="1"/>
    <col min="8" max="8" width="11.42578125" customWidth="1"/>
    <col min="9" max="9" width="10.28515625" customWidth="1"/>
    <col min="10" max="10" width="12.5703125" customWidth="1"/>
    <col min="11" max="11" width="12.28515625" customWidth="1"/>
    <col min="12" max="12" width="10.85546875" customWidth="1"/>
    <col min="13" max="13" width="10.7109375" customWidth="1"/>
    <col min="14" max="15" width="12.140625" customWidth="1"/>
    <col min="16" max="16" width="13.85546875" customWidth="1"/>
  </cols>
  <sheetData>
    <row r="1" spans="1:18" ht="18.75" x14ac:dyDescent="0.3">
      <c r="G1" s="108"/>
      <c r="H1" s="108"/>
      <c r="I1" s="108"/>
      <c r="J1" s="108"/>
      <c r="K1" s="108" t="s">
        <v>472</v>
      </c>
      <c r="L1" s="108"/>
      <c r="M1" s="108"/>
      <c r="N1" s="108"/>
    </row>
    <row r="2" spans="1:18" ht="18.75" x14ac:dyDescent="0.3">
      <c r="G2" s="108"/>
      <c r="H2" s="108"/>
      <c r="I2" s="108"/>
      <c r="J2" s="108"/>
      <c r="K2" s="108" t="s">
        <v>494</v>
      </c>
      <c r="L2" s="108"/>
      <c r="M2" s="108"/>
      <c r="N2" s="108"/>
    </row>
    <row r="4" spans="1:18" x14ac:dyDescent="0.25">
      <c r="A4" s="2"/>
    </row>
    <row r="5" spans="1:18" ht="18.75" x14ac:dyDescent="0.25">
      <c r="A5" s="258" t="s">
        <v>367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113"/>
      <c r="P5" s="113"/>
      <c r="Q5" s="113"/>
      <c r="R5" s="113"/>
    </row>
    <row r="6" spans="1:18" ht="18.75" x14ac:dyDescent="0.3">
      <c r="A6" s="259" t="s">
        <v>368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114"/>
      <c r="P6" s="114"/>
      <c r="Q6" s="114"/>
      <c r="R6" s="114"/>
    </row>
    <row r="7" spans="1:18" x14ac:dyDescent="0.25">
      <c r="A7" s="3" t="s">
        <v>333</v>
      </c>
    </row>
    <row r="8" spans="1:18" ht="14.45" x14ac:dyDescent="0.3">
      <c r="A8" s="4"/>
    </row>
    <row r="9" spans="1:18" ht="18" customHeight="1" x14ac:dyDescent="0.25">
      <c r="A9" s="314" t="s">
        <v>0</v>
      </c>
      <c r="B9" s="314" t="s">
        <v>1</v>
      </c>
      <c r="C9" s="314" t="s">
        <v>2</v>
      </c>
      <c r="D9" s="311" t="s">
        <v>3</v>
      </c>
      <c r="E9" s="311" t="s">
        <v>4</v>
      </c>
      <c r="F9" s="311" t="s">
        <v>5</v>
      </c>
      <c r="G9" s="311" t="s">
        <v>6</v>
      </c>
      <c r="H9" s="308" t="s">
        <v>7</v>
      </c>
      <c r="I9" s="308"/>
      <c r="J9" s="308"/>
      <c r="K9" s="315" t="s">
        <v>8</v>
      </c>
      <c r="L9" s="315"/>
      <c r="M9" s="315"/>
      <c r="N9" s="315"/>
    </row>
    <row r="10" spans="1:18" ht="30" customHeight="1" x14ac:dyDescent="0.25">
      <c r="A10" s="314"/>
      <c r="B10" s="314"/>
      <c r="C10" s="314"/>
      <c r="D10" s="312"/>
      <c r="E10" s="312"/>
      <c r="F10" s="312"/>
      <c r="G10" s="312"/>
      <c r="H10" s="309" t="s">
        <v>338</v>
      </c>
      <c r="I10" s="309" t="s">
        <v>341</v>
      </c>
      <c r="J10" s="309" t="s">
        <v>337</v>
      </c>
      <c r="K10" s="309" t="s">
        <v>338</v>
      </c>
      <c r="L10" s="309" t="s">
        <v>341</v>
      </c>
      <c r="M10" s="115" t="s">
        <v>369</v>
      </c>
      <c r="N10" s="309" t="s">
        <v>337</v>
      </c>
    </row>
    <row r="11" spans="1:18" ht="31.5" customHeight="1" x14ac:dyDescent="0.25">
      <c r="A11" s="314"/>
      <c r="B11" s="314"/>
      <c r="C11" s="314"/>
      <c r="D11" s="313"/>
      <c r="E11" s="313"/>
      <c r="F11" s="313"/>
      <c r="G11" s="313"/>
      <c r="H11" s="310"/>
      <c r="I11" s="310"/>
      <c r="J11" s="310"/>
      <c r="K11" s="310"/>
      <c r="L11" s="310"/>
      <c r="M11" s="116" t="s">
        <v>10</v>
      </c>
      <c r="N11" s="310"/>
    </row>
    <row r="12" spans="1:18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112">
        <v>9</v>
      </c>
      <c r="J12" s="112">
        <v>10</v>
      </c>
      <c r="K12" s="6">
        <v>11</v>
      </c>
      <c r="L12" s="112">
        <v>12</v>
      </c>
      <c r="M12" s="112">
        <v>13</v>
      </c>
      <c r="N12" s="112">
        <v>14</v>
      </c>
    </row>
    <row r="13" spans="1:18" x14ac:dyDescent="0.25">
      <c r="A13" s="194" t="s">
        <v>153</v>
      </c>
      <c r="B13" s="6"/>
      <c r="C13" s="6"/>
      <c r="D13" s="201" t="s">
        <v>11</v>
      </c>
      <c r="E13" s="192"/>
      <c r="F13" s="7"/>
      <c r="G13" s="8">
        <f>SUM(J13+N13)</f>
        <v>80255566.049999997</v>
      </c>
      <c r="H13" s="8">
        <f t="shared" ref="H13:N13" si="0">SUM(H14:H46)</f>
        <v>47739799.049999997</v>
      </c>
      <c r="I13" s="8">
        <f t="shared" si="0"/>
        <v>-7780450</v>
      </c>
      <c r="J13" s="8">
        <f t="shared" si="0"/>
        <v>39959349.049999997</v>
      </c>
      <c r="K13" s="8">
        <f t="shared" si="0"/>
        <v>33488847</v>
      </c>
      <c r="L13" s="8">
        <f t="shared" si="0"/>
        <v>6807370</v>
      </c>
      <c r="M13" s="8">
        <f t="shared" si="0"/>
        <v>6807370</v>
      </c>
      <c r="N13" s="8">
        <f t="shared" si="0"/>
        <v>40296217</v>
      </c>
      <c r="O13" s="35"/>
    </row>
    <row r="14" spans="1:18" ht="67.5" x14ac:dyDescent="0.25">
      <c r="A14" s="149" t="s">
        <v>154</v>
      </c>
      <c r="B14" s="149" t="s">
        <v>155</v>
      </c>
      <c r="C14" s="149" t="s">
        <v>156</v>
      </c>
      <c r="D14" s="150" t="s">
        <v>157</v>
      </c>
      <c r="E14" s="43" t="s">
        <v>291</v>
      </c>
      <c r="F14" s="44" t="s">
        <v>290</v>
      </c>
      <c r="G14" s="8">
        <f t="shared" ref="G14:G116" si="1">SUM(J14+N14)</f>
        <v>20000</v>
      </c>
      <c r="H14" s="46">
        <v>20000</v>
      </c>
      <c r="I14" s="45"/>
      <c r="J14" s="46">
        <f>SUM(H14:I14)</f>
        <v>20000</v>
      </c>
      <c r="K14" s="46"/>
      <c r="L14" s="45"/>
      <c r="M14" s="46"/>
      <c r="N14" s="46">
        <f>SUM(K14:L14)</f>
        <v>0</v>
      </c>
    </row>
    <row r="15" spans="1:18" ht="33.75" x14ac:dyDescent="0.25">
      <c r="A15" s="40">
        <v>110180</v>
      </c>
      <c r="B15" s="41">
        <v>180</v>
      </c>
      <c r="C15" s="42">
        <v>133</v>
      </c>
      <c r="D15" s="43" t="s">
        <v>161</v>
      </c>
      <c r="E15" s="43" t="s">
        <v>293</v>
      </c>
      <c r="F15" s="44" t="s">
        <v>292</v>
      </c>
      <c r="G15" s="8">
        <f t="shared" ref="G15" si="2">SUM(J15+N15)</f>
        <v>1404000</v>
      </c>
      <c r="H15" s="46">
        <v>1204000</v>
      </c>
      <c r="I15" s="45"/>
      <c r="J15" s="46">
        <f t="shared" ref="J15:J77" si="3">SUM(H15:I15)</f>
        <v>1204000</v>
      </c>
      <c r="K15" s="46">
        <v>200000</v>
      </c>
      <c r="L15" s="45"/>
      <c r="M15" s="46"/>
      <c r="N15" s="46">
        <f t="shared" ref="N15:N77" si="4">SUM(K15:L15)</f>
        <v>200000</v>
      </c>
    </row>
    <row r="16" spans="1:18" ht="33.75" x14ac:dyDescent="0.25">
      <c r="A16" s="185">
        <v>112111</v>
      </c>
      <c r="B16" s="186">
        <v>2111</v>
      </c>
      <c r="C16" s="42">
        <v>726</v>
      </c>
      <c r="D16" s="43" t="s">
        <v>42</v>
      </c>
      <c r="E16" s="43" t="s">
        <v>45</v>
      </c>
      <c r="F16" s="44" t="s">
        <v>46</v>
      </c>
      <c r="G16" s="8">
        <f t="shared" si="1"/>
        <v>1936213</v>
      </c>
      <c r="H16" s="46">
        <v>1936213</v>
      </c>
      <c r="I16" s="45"/>
      <c r="J16" s="46">
        <f t="shared" si="3"/>
        <v>1936213</v>
      </c>
      <c r="K16" s="46"/>
      <c r="L16" s="45"/>
      <c r="M16" s="46"/>
      <c r="N16" s="46">
        <f t="shared" si="4"/>
        <v>0</v>
      </c>
    </row>
    <row r="17" spans="1:16" ht="33.75" x14ac:dyDescent="0.25">
      <c r="A17" s="185">
        <v>112152</v>
      </c>
      <c r="B17" s="186">
        <v>2152</v>
      </c>
      <c r="C17" s="42">
        <v>763</v>
      </c>
      <c r="D17" s="43" t="s">
        <v>43</v>
      </c>
      <c r="E17" s="43" t="s">
        <v>45</v>
      </c>
      <c r="F17" s="44" t="s">
        <v>46</v>
      </c>
      <c r="G17" s="8">
        <f t="shared" si="1"/>
        <v>4743247</v>
      </c>
      <c r="H17" s="46">
        <v>2400000</v>
      </c>
      <c r="I17" s="45"/>
      <c r="J17" s="46">
        <f t="shared" si="3"/>
        <v>2400000</v>
      </c>
      <c r="K17" s="46">
        <v>2343247</v>
      </c>
      <c r="L17" s="45"/>
      <c r="M17" s="46"/>
      <c r="N17" s="46">
        <f t="shared" si="4"/>
        <v>2343247</v>
      </c>
      <c r="P17" s="35"/>
    </row>
    <row r="18" spans="1:16" ht="33.75" x14ac:dyDescent="0.25">
      <c r="A18" s="187" t="s">
        <v>250</v>
      </c>
      <c r="B18" s="187" t="s">
        <v>249</v>
      </c>
      <c r="C18" s="47" t="s">
        <v>248</v>
      </c>
      <c r="D18" s="43" t="s">
        <v>247</v>
      </c>
      <c r="E18" s="43" t="s">
        <v>334</v>
      </c>
      <c r="F18" s="44" t="s">
        <v>44</v>
      </c>
      <c r="G18" s="8">
        <f t="shared" si="1"/>
        <v>9207768</v>
      </c>
      <c r="H18" s="46">
        <v>9207768</v>
      </c>
      <c r="I18" s="45"/>
      <c r="J18" s="46">
        <f t="shared" si="3"/>
        <v>9207768</v>
      </c>
      <c r="K18" s="46"/>
      <c r="L18" s="45"/>
      <c r="M18" s="46"/>
      <c r="N18" s="46">
        <f t="shared" si="4"/>
        <v>0</v>
      </c>
    </row>
    <row r="19" spans="1:16" ht="33.75" x14ac:dyDescent="0.25">
      <c r="A19" s="185">
        <v>112152</v>
      </c>
      <c r="B19" s="186">
        <v>2152</v>
      </c>
      <c r="C19" s="42">
        <v>763</v>
      </c>
      <c r="D19" s="43" t="s">
        <v>43</v>
      </c>
      <c r="E19" s="43" t="s">
        <v>334</v>
      </c>
      <c r="F19" s="44" t="s">
        <v>44</v>
      </c>
      <c r="G19" s="8">
        <f>SUM(J19+N19)</f>
        <v>7750000</v>
      </c>
      <c r="H19" s="46">
        <v>1250000</v>
      </c>
      <c r="I19" s="45"/>
      <c r="J19" s="46">
        <f t="shared" si="3"/>
        <v>1250000</v>
      </c>
      <c r="K19" s="46">
        <v>6500000</v>
      </c>
      <c r="L19" s="45"/>
      <c r="M19" s="46"/>
      <c r="N19" s="46">
        <f t="shared" si="4"/>
        <v>6500000</v>
      </c>
    </row>
    <row r="20" spans="1:16" ht="33.75" x14ac:dyDescent="0.25">
      <c r="A20" s="153" t="s">
        <v>179</v>
      </c>
      <c r="B20" s="153">
        <v>3090</v>
      </c>
      <c r="C20" s="11">
        <v>1030</v>
      </c>
      <c r="D20" s="198" t="s">
        <v>180</v>
      </c>
      <c r="E20" s="48" t="s">
        <v>13</v>
      </c>
      <c r="F20" s="44" t="s">
        <v>14</v>
      </c>
      <c r="G20" s="8">
        <f t="shared" si="1"/>
        <v>500000</v>
      </c>
      <c r="H20" s="46">
        <v>500000</v>
      </c>
      <c r="I20" s="45"/>
      <c r="J20" s="46">
        <f t="shared" si="3"/>
        <v>500000</v>
      </c>
      <c r="K20" s="46"/>
      <c r="L20" s="45"/>
      <c r="M20" s="46"/>
      <c r="N20" s="46">
        <f t="shared" si="4"/>
        <v>0</v>
      </c>
    </row>
    <row r="21" spans="1:16" ht="33.75" x14ac:dyDescent="0.25">
      <c r="A21" s="187" t="s">
        <v>29</v>
      </c>
      <c r="B21" s="187">
        <v>3242</v>
      </c>
      <c r="C21" s="47">
        <v>1090</v>
      </c>
      <c r="D21" s="43" t="s">
        <v>12</v>
      </c>
      <c r="E21" s="83" t="s">
        <v>347</v>
      </c>
      <c r="F21" s="44" t="s">
        <v>14</v>
      </c>
      <c r="G21" s="8">
        <f t="shared" si="1"/>
        <v>11492000</v>
      </c>
      <c r="H21" s="46">
        <v>11492000</v>
      </c>
      <c r="I21" s="45"/>
      <c r="J21" s="46">
        <f t="shared" si="3"/>
        <v>11492000</v>
      </c>
      <c r="K21" s="46"/>
      <c r="L21" s="45"/>
      <c r="M21" s="46"/>
      <c r="N21" s="46">
        <f t="shared" si="4"/>
        <v>0</v>
      </c>
    </row>
    <row r="22" spans="1:16" ht="45" x14ac:dyDescent="0.25">
      <c r="A22" s="187" t="s">
        <v>29</v>
      </c>
      <c r="B22" s="187">
        <v>3242</v>
      </c>
      <c r="C22" s="47">
        <v>1090</v>
      </c>
      <c r="D22" s="43" t="s">
        <v>12</v>
      </c>
      <c r="E22" s="83" t="s">
        <v>348</v>
      </c>
      <c r="F22" s="44" t="s">
        <v>14</v>
      </c>
      <c r="G22" s="8">
        <f t="shared" si="1"/>
        <v>120000</v>
      </c>
      <c r="H22" s="46">
        <v>120000</v>
      </c>
      <c r="I22" s="45"/>
      <c r="J22" s="46">
        <f t="shared" si="3"/>
        <v>120000</v>
      </c>
      <c r="K22" s="46"/>
      <c r="L22" s="45"/>
      <c r="M22" s="46"/>
      <c r="N22" s="46">
        <f t="shared" si="4"/>
        <v>0</v>
      </c>
    </row>
    <row r="23" spans="1:16" ht="78.75" x14ac:dyDescent="0.25">
      <c r="A23" s="185">
        <v>113242</v>
      </c>
      <c r="B23" s="186">
        <v>3242</v>
      </c>
      <c r="C23" s="49">
        <v>1090</v>
      </c>
      <c r="D23" s="43" t="s">
        <v>47</v>
      </c>
      <c r="E23" s="43" t="s">
        <v>48</v>
      </c>
      <c r="F23" s="44" t="s">
        <v>49</v>
      </c>
      <c r="G23" s="8">
        <f t="shared" si="1"/>
        <v>500000</v>
      </c>
      <c r="H23" s="46">
        <v>500000</v>
      </c>
      <c r="I23" s="45"/>
      <c r="J23" s="46">
        <f t="shared" si="3"/>
        <v>500000</v>
      </c>
      <c r="K23" s="46"/>
      <c r="L23" s="45"/>
      <c r="M23" s="46"/>
      <c r="N23" s="46">
        <f t="shared" si="4"/>
        <v>0</v>
      </c>
    </row>
    <row r="24" spans="1:16" ht="33.75" x14ac:dyDescent="0.25">
      <c r="A24" s="185">
        <v>117350</v>
      </c>
      <c r="B24" s="186">
        <v>7350</v>
      </c>
      <c r="C24" s="42">
        <v>443</v>
      </c>
      <c r="D24" s="197" t="s">
        <v>188</v>
      </c>
      <c r="E24" s="48" t="s">
        <v>51</v>
      </c>
      <c r="F24" s="44" t="s">
        <v>52</v>
      </c>
      <c r="G24" s="8">
        <f t="shared" si="1"/>
        <v>804000</v>
      </c>
      <c r="H24" s="46">
        <v>204000</v>
      </c>
      <c r="I24" s="45"/>
      <c r="J24" s="46">
        <f t="shared" si="3"/>
        <v>204000</v>
      </c>
      <c r="K24" s="46">
        <v>600000</v>
      </c>
      <c r="L24" s="45"/>
      <c r="M24" s="46"/>
      <c r="N24" s="46">
        <f t="shared" si="4"/>
        <v>600000</v>
      </c>
    </row>
    <row r="25" spans="1:16" ht="33.75" x14ac:dyDescent="0.25">
      <c r="A25" s="187" t="s">
        <v>30</v>
      </c>
      <c r="B25" s="187">
        <v>7370</v>
      </c>
      <c r="C25" s="47">
        <v>490</v>
      </c>
      <c r="D25" s="43" t="s">
        <v>15</v>
      </c>
      <c r="E25" s="48" t="s">
        <v>16</v>
      </c>
      <c r="F25" s="44" t="s">
        <v>17</v>
      </c>
      <c r="G25" s="8">
        <f t="shared" si="1"/>
        <v>250000</v>
      </c>
      <c r="H25" s="46">
        <v>250000</v>
      </c>
      <c r="I25" s="45"/>
      <c r="J25" s="46">
        <f t="shared" si="3"/>
        <v>250000</v>
      </c>
      <c r="K25" s="46"/>
      <c r="L25" s="45"/>
      <c r="M25" s="46"/>
      <c r="N25" s="46">
        <f t="shared" si="4"/>
        <v>0</v>
      </c>
      <c r="P25" s="35"/>
    </row>
    <row r="26" spans="1:16" ht="33.75" x14ac:dyDescent="0.25">
      <c r="A26" s="187" t="s">
        <v>30</v>
      </c>
      <c r="B26" s="187">
        <v>7370</v>
      </c>
      <c r="C26" s="47">
        <v>490</v>
      </c>
      <c r="D26" s="43" t="s">
        <v>15</v>
      </c>
      <c r="E26" s="48" t="s">
        <v>305</v>
      </c>
      <c r="F26" s="44" t="s">
        <v>306</v>
      </c>
      <c r="G26" s="8">
        <f t="shared" si="1"/>
        <v>500000</v>
      </c>
      <c r="H26" s="46">
        <v>500000</v>
      </c>
      <c r="I26" s="45"/>
      <c r="J26" s="46">
        <f t="shared" si="3"/>
        <v>500000</v>
      </c>
      <c r="K26" s="46"/>
      <c r="L26" s="45"/>
      <c r="M26" s="46"/>
      <c r="N26" s="46">
        <f t="shared" si="4"/>
        <v>0</v>
      </c>
    </row>
    <row r="27" spans="1:16" ht="45" x14ac:dyDescent="0.25">
      <c r="A27" s="187" t="s">
        <v>30</v>
      </c>
      <c r="B27" s="187">
        <v>7370</v>
      </c>
      <c r="C27" s="47">
        <v>490</v>
      </c>
      <c r="D27" s="43" t="s">
        <v>15</v>
      </c>
      <c r="E27" s="48" t="s">
        <v>439</v>
      </c>
      <c r="F27" s="318" t="s">
        <v>290</v>
      </c>
      <c r="G27" s="8">
        <f t="shared" si="1"/>
        <v>4280500</v>
      </c>
      <c r="H27" s="46">
        <v>12218950</v>
      </c>
      <c r="I27" s="45">
        <f>-4287018-3651432</f>
        <v>-7938450</v>
      </c>
      <c r="J27" s="46">
        <f t="shared" si="3"/>
        <v>4280500</v>
      </c>
      <c r="K27" s="46"/>
      <c r="L27" s="45"/>
      <c r="M27" s="46"/>
      <c r="N27" s="46">
        <f t="shared" si="4"/>
        <v>0</v>
      </c>
    </row>
    <row r="28" spans="1:16" ht="45" x14ac:dyDescent="0.25">
      <c r="A28" s="185">
        <v>112152</v>
      </c>
      <c r="B28" s="186">
        <v>2152</v>
      </c>
      <c r="C28" s="42">
        <v>763</v>
      </c>
      <c r="D28" s="43" t="s">
        <v>43</v>
      </c>
      <c r="E28" s="48" t="s">
        <v>454</v>
      </c>
      <c r="F28" s="320"/>
      <c r="G28" s="8">
        <f t="shared" si="1"/>
        <v>263000</v>
      </c>
      <c r="H28" s="46"/>
      <c r="I28" s="45">
        <v>98000</v>
      </c>
      <c r="J28" s="46">
        <f t="shared" si="3"/>
        <v>98000</v>
      </c>
      <c r="K28" s="46">
        <v>145000</v>
      </c>
      <c r="L28" s="45">
        <f>20000</f>
        <v>20000</v>
      </c>
      <c r="M28" s="46">
        <f>20000</f>
        <v>20000</v>
      </c>
      <c r="N28" s="46">
        <f t="shared" si="4"/>
        <v>165000</v>
      </c>
    </row>
    <row r="29" spans="1:16" ht="45" x14ac:dyDescent="0.25">
      <c r="A29" s="185">
        <v>112152</v>
      </c>
      <c r="B29" s="186">
        <v>2152</v>
      </c>
      <c r="C29" s="42">
        <v>763</v>
      </c>
      <c r="D29" s="43" t="s">
        <v>43</v>
      </c>
      <c r="E29" s="48" t="s">
        <v>435</v>
      </c>
      <c r="F29" s="319"/>
      <c r="G29" s="8">
        <f>SUM(J29+N29)</f>
        <v>567500</v>
      </c>
      <c r="H29" s="46"/>
      <c r="I29" s="45"/>
      <c r="J29" s="46">
        <f t="shared" si="3"/>
        <v>0</v>
      </c>
      <c r="K29" s="46">
        <v>200000</v>
      </c>
      <c r="L29" s="45">
        <f>302500+65000</f>
        <v>367500</v>
      </c>
      <c r="M29" s="46">
        <f>302500+65000</f>
        <v>367500</v>
      </c>
      <c r="N29" s="46">
        <f t="shared" si="4"/>
        <v>567500</v>
      </c>
    </row>
    <row r="30" spans="1:16" ht="33.75" x14ac:dyDescent="0.25">
      <c r="A30" s="187" t="s">
        <v>30</v>
      </c>
      <c r="B30" s="187">
        <v>7370</v>
      </c>
      <c r="C30" s="47">
        <v>490</v>
      </c>
      <c r="D30" s="43" t="s">
        <v>15</v>
      </c>
      <c r="E30" s="48" t="s">
        <v>18</v>
      </c>
      <c r="F30" s="44" t="s">
        <v>19</v>
      </c>
      <c r="G30" s="8">
        <f t="shared" si="1"/>
        <v>17440470</v>
      </c>
      <c r="H30" s="46">
        <v>1645000</v>
      </c>
      <c r="I30" s="45"/>
      <c r="J30" s="46">
        <f t="shared" si="3"/>
        <v>1645000</v>
      </c>
      <c r="K30" s="46">
        <v>11580600</v>
      </c>
      <c r="L30" s="45">
        <v>4214870</v>
      </c>
      <c r="M30" s="46">
        <v>4214870</v>
      </c>
      <c r="N30" s="46">
        <f t="shared" si="4"/>
        <v>15795470</v>
      </c>
    </row>
    <row r="31" spans="1:16" ht="22.5" x14ac:dyDescent="0.25">
      <c r="A31" s="185">
        <v>117370</v>
      </c>
      <c r="B31" s="186">
        <v>7370</v>
      </c>
      <c r="C31" s="42">
        <v>490</v>
      </c>
      <c r="D31" s="43" t="s">
        <v>15</v>
      </c>
      <c r="E31" s="316" t="s">
        <v>50</v>
      </c>
      <c r="F31" s="318" t="s">
        <v>35</v>
      </c>
      <c r="G31" s="8">
        <f t="shared" si="1"/>
        <v>6025000</v>
      </c>
      <c r="H31" s="241">
        <v>635000</v>
      </c>
      <c r="I31" s="141"/>
      <c r="J31" s="46">
        <f t="shared" si="3"/>
        <v>635000</v>
      </c>
      <c r="K31" s="46">
        <v>5210000</v>
      </c>
      <c r="L31" s="45">
        <f>70000+110000</f>
        <v>180000</v>
      </c>
      <c r="M31" s="46">
        <f>70000+110000</f>
        <v>180000</v>
      </c>
      <c r="N31" s="46">
        <f t="shared" si="4"/>
        <v>5390000</v>
      </c>
    </row>
    <row r="32" spans="1:16" ht="45" x14ac:dyDescent="0.25">
      <c r="A32" s="119">
        <v>119800</v>
      </c>
      <c r="B32" s="120">
        <v>9800</v>
      </c>
      <c r="C32" s="125">
        <v>180</v>
      </c>
      <c r="D32" s="121" t="s">
        <v>393</v>
      </c>
      <c r="E32" s="317"/>
      <c r="F32" s="319"/>
      <c r="G32" s="8">
        <f t="shared" si="1"/>
        <v>6500000</v>
      </c>
      <c r="H32" s="241">
        <v>900000</v>
      </c>
      <c r="I32" s="141"/>
      <c r="J32" s="46">
        <f t="shared" si="3"/>
        <v>900000</v>
      </c>
      <c r="K32" s="46">
        <v>5600000</v>
      </c>
      <c r="L32" s="45"/>
      <c r="M32" s="45"/>
      <c r="N32" s="46">
        <f t="shared" si="4"/>
        <v>5600000</v>
      </c>
      <c r="P32" s="35"/>
    </row>
    <row r="33" spans="1:16" ht="67.5" x14ac:dyDescent="0.25">
      <c r="A33" s="119">
        <v>119800</v>
      </c>
      <c r="B33" s="120">
        <v>9800</v>
      </c>
      <c r="C33" s="125">
        <v>180</v>
      </c>
      <c r="D33" s="121" t="s">
        <v>393</v>
      </c>
      <c r="E33" s="245" t="s">
        <v>491</v>
      </c>
      <c r="F33" s="244" t="s">
        <v>35</v>
      </c>
      <c r="G33" s="8">
        <f t="shared" si="1"/>
        <v>2085000</v>
      </c>
      <c r="H33" s="241"/>
      <c r="I33" s="141">
        <v>60000</v>
      </c>
      <c r="J33" s="46">
        <f t="shared" si="3"/>
        <v>60000</v>
      </c>
      <c r="K33" s="46"/>
      <c r="L33" s="45">
        <f>1460000+565000</f>
        <v>2025000</v>
      </c>
      <c r="M33" s="46">
        <f>1460000+565000</f>
        <v>2025000</v>
      </c>
      <c r="N33" s="46">
        <f t="shared" si="4"/>
        <v>2025000</v>
      </c>
      <c r="P33" s="35"/>
    </row>
    <row r="34" spans="1:16" ht="33.75" x14ac:dyDescent="0.25">
      <c r="A34" s="187" t="s">
        <v>30</v>
      </c>
      <c r="B34" s="187">
        <v>7370</v>
      </c>
      <c r="C34" s="47">
        <v>490</v>
      </c>
      <c r="D34" s="43" t="s">
        <v>15</v>
      </c>
      <c r="E34" s="48" t="s">
        <v>20</v>
      </c>
      <c r="F34" s="44" t="s">
        <v>425</v>
      </c>
      <c r="G34" s="8">
        <f t="shared" si="1"/>
        <v>100000</v>
      </c>
      <c r="H34" s="46">
        <v>100000</v>
      </c>
      <c r="I34" s="45"/>
      <c r="J34" s="46">
        <f t="shared" si="3"/>
        <v>100000</v>
      </c>
      <c r="K34" s="46"/>
      <c r="L34" s="45"/>
      <c r="M34" s="46"/>
      <c r="N34" s="46">
        <f t="shared" si="4"/>
        <v>0</v>
      </c>
    </row>
    <row r="35" spans="1:16" ht="33.75" x14ac:dyDescent="0.25">
      <c r="A35" s="185">
        <v>117370</v>
      </c>
      <c r="B35" s="186">
        <v>7370</v>
      </c>
      <c r="C35" s="42">
        <v>490</v>
      </c>
      <c r="D35" s="43" t="s">
        <v>15</v>
      </c>
      <c r="E35" s="43" t="s">
        <v>286</v>
      </c>
      <c r="F35" s="44" t="s">
        <v>426</v>
      </c>
      <c r="G35" s="8">
        <f t="shared" si="1"/>
        <v>143124</v>
      </c>
      <c r="H35" s="46">
        <v>143124</v>
      </c>
      <c r="I35" s="45"/>
      <c r="J35" s="46">
        <f t="shared" si="3"/>
        <v>143124</v>
      </c>
      <c r="K35" s="46"/>
      <c r="L35" s="45"/>
      <c r="M35" s="46"/>
      <c r="N35" s="46">
        <f t="shared" si="4"/>
        <v>0</v>
      </c>
    </row>
    <row r="36" spans="1:16" ht="22.9" customHeight="1" x14ac:dyDescent="0.25">
      <c r="A36" s="119">
        <v>117640</v>
      </c>
      <c r="B36" s="120">
        <v>7640</v>
      </c>
      <c r="C36" s="50">
        <v>470</v>
      </c>
      <c r="D36" s="43" t="s">
        <v>256</v>
      </c>
      <c r="E36" s="316" t="s">
        <v>281</v>
      </c>
      <c r="F36" s="318" t="s">
        <v>427</v>
      </c>
      <c r="G36" s="8">
        <f t="shared" si="1"/>
        <v>816000</v>
      </c>
      <c r="H36" s="46">
        <v>236000</v>
      </c>
      <c r="I36" s="45"/>
      <c r="J36" s="46">
        <f t="shared" si="3"/>
        <v>236000</v>
      </c>
      <c r="K36" s="46">
        <v>580000</v>
      </c>
      <c r="L36" s="45"/>
      <c r="M36" s="46"/>
      <c r="N36" s="46">
        <f t="shared" si="4"/>
        <v>580000</v>
      </c>
    </row>
    <row r="37" spans="1:16" ht="22.5" x14ac:dyDescent="0.25">
      <c r="A37" s="185">
        <v>112152</v>
      </c>
      <c r="B37" s="186">
        <v>2152</v>
      </c>
      <c r="C37" s="42">
        <v>763</v>
      </c>
      <c r="D37" s="43" t="s">
        <v>43</v>
      </c>
      <c r="E37" s="317"/>
      <c r="F37" s="319"/>
      <c r="G37" s="8">
        <f t="shared" si="1"/>
        <v>49000</v>
      </c>
      <c r="H37" s="46">
        <v>49000</v>
      </c>
      <c r="I37" s="45"/>
      <c r="J37" s="46">
        <f t="shared" si="3"/>
        <v>49000</v>
      </c>
      <c r="K37" s="46"/>
      <c r="L37" s="45"/>
      <c r="M37" s="46"/>
      <c r="N37" s="46">
        <f t="shared" si="4"/>
        <v>0</v>
      </c>
    </row>
    <row r="38" spans="1:16" ht="22.5" x14ac:dyDescent="0.25">
      <c r="A38" s="327">
        <v>117693</v>
      </c>
      <c r="B38" s="330">
        <v>7693</v>
      </c>
      <c r="C38" s="333">
        <v>490</v>
      </c>
      <c r="D38" s="316" t="s">
        <v>188</v>
      </c>
      <c r="E38" s="48" t="s">
        <v>294</v>
      </c>
      <c r="F38" s="318" t="s">
        <v>295</v>
      </c>
      <c r="G38" s="8">
        <f t="shared" ref="G38:G39" si="5">SUM(J38+N38)</f>
        <v>940107.05</v>
      </c>
      <c r="H38" s="46">
        <v>940107.05</v>
      </c>
      <c r="I38" s="45"/>
      <c r="J38" s="46">
        <f t="shared" si="3"/>
        <v>940107.05</v>
      </c>
      <c r="K38" s="46"/>
      <c r="L38" s="45"/>
      <c r="M38" s="46"/>
      <c r="N38" s="46">
        <f t="shared" si="4"/>
        <v>0</v>
      </c>
    </row>
    <row r="39" spans="1:16" ht="22.5" x14ac:dyDescent="0.25">
      <c r="A39" s="328"/>
      <c r="B39" s="331"/>
      <c r="C39" s="334"/>
      <c r="D39" s="323"/>
      <c r="E39" s="48" t="s">
        <v>434</v>
      </c>
      <c r="F39" s="320"/>
      <c r="G39" s="8">
        <f t="shared" si="5"/>
        <v>22055.64</v>
      </c>
      <c r="H39" s="46">
        <v>22055.64</v>
      </c>
      <c r="I39" s="45"/>
      <c r="J39" s="46">
        <f t="shared" si="3"/>
        <v>22055.64</v>
      </c>
      <c r="K39" s="46"/>
      <c r="L39" s="45"/>
      <c r="M39" s="46"/>
      <c r="N39" s="46">
        <f t="shared" si="4"/>
        <v>0</v>
      </c>
    </row>
    <row r="40" spans="1:16" ht="22.5" x14ac:dyDescent="0.25">
      <c r="A40" s="329"/>
      <c r="B40" s="332"/>
      <c r="C40" s="335"/>
      <c r="D40" s="317"/>
      <c r="E40" s="48" t="s">
        <v>391</v>
      </c>
      <c r="F40" s="319"/>
      <c r="G40" s="8">
        <f t="shared" ref="G40:G62" si="6">SUM(J40+N40)</f>
        <v>116581.36</v>
      </c>
      <c r="H40" s="46">
        <v>116581.36</v>
      </c>
      <c r="I40" s="45"/>
      <c r="J40" s="46">
        <f t="shared" si="3"/>
        <v>116581.36</v>
      </c>
      <c r="K40" s="46"/>
      <c r="L40" s="45"/>
      <c r="M40" s="46"/>
      <c r="N40" s="46">
        <f t="shared" si="4"/>
        <v>0</v>
      </c>
    </row>
    <row r="41" spans="1:16" ht="33.75" x14ac:dyDescent="0.25">
      <c r="A41" s="153" t="s">
        <v>397</v>
      </c>
      <c r="B41" s="153" t="s">
        <v>395</v>
      </c>
      <c r="C41" s="11" t="s">
        <v>396</v>
      </c>
      <c r="D41" s="61" t="s">
        <v>392</v>
      </c>
      <c r="E41" s="336" t="s">
        <v>404</v>
      </c>
      <c r="F41" s="324" t="s">
        <v>405</v>
      </c>
      <c r="G41" s="8">
        <f t="shared" si="6"/>
        <v>300000</v>
      </c>
      <c r="H41" s="46">
        <v>300000</v>
      </c>
      <c r="I41" s="45"/>
      <c r="J41" s="46">
        <f t="shared" si="3"/>
        <v>300000</v>
      </c>
      <c r="K41" s="46"/>
      <c r="L41" s="45"/>
      <c r="M41" s="46"/>
      <c r="N41" s="46">
        <f t="shared" si="4"/>
        <v>0</v>
      </c>
    </row>
    <row r="42" spans="1:16" ht="45" x14ac:dyDescent="0.25">
      <c r="A42" s="119">
        <v>119800</v>
      </c>
      <c r="B42" s="120">
        <v>9800</v>
      </c>
      <c r="C42" s="125">
        <v>180</v>
      </c>
      <c r="D42" s="121" t="s">
        <v>393</v>
      </c>
      <c r="E42" s="338"/>
      <c r="F42" s="326"/>
      <c r="G42" s="8">
        <f t="shared" si="6"/>
        <v>400000</v>
      </c>
      <c r="H42" s="46">
        <v>250000</v>
      </c>
      <c r="I42" s="45"/>
      <c r="J42" s="46">
        <f t="shared" si="3"/>
        <v>250000</v>
      </c>
      <c r="K42" s="46">
        <v>150000</v>
      </c>
      <c r="L42" s="45"/>
      <c r="M42" s="46"/>
      <c r="N42" s="46">
        <f t="shared" si="4"/>
        <v>150000</v>
      </c>
    </row>
    <row r="43" spans="1:16" ht="45" x14ac:dyDescent="0.25">
      <c r="A43" s="119">
        <v>119800</v>
      </c>
      <c r="B43" s="120">
        <v>9800</v>
      </c>
      <c r="C43" s="125">
        <v>180</v>
      </c>
      <c r="D43" s="121" t="s">
        <v>393</v>
      </c>
      <c r="E43" s="132" t="s">
        <v>388</v>
      </c>
      <c r="F43" s="133" t="s">
        <v>445</v>
      </c>
      <c r="G43" s="8">
        <f t="shared" si="6"/>
        <v>500000</v>
      </c>
      <c r="H43" s="46">
        <v>500000</v>
      </c>
      <c r="I43" s="45"/>
      <c r="J43" s="46">
        <f t="shared" si="3"/>
        <v>500000</v>
      </c>
      <c r="K43" s="46"/>
      <c r="L43" s="45"/>
      <c r="M43" s="46"/>
      <c r="N43" s="46">
        <f t="shared" si="4"/>
        <v>0</v>
      </c>
    </row>
    <row r="44" spans="1:16" ht="45" x14ac:dyDescent="0.25">
      <c r="A44" s="119">
        <v>119800</v>
      </c>
      <c r="B44" s="120">
        <v>9800</v>
      </c>
      <c r="C44" s="125">
        <v>180</v>
      </c>
      <c r="D44" s="121" t="s">
        <v>393</v>
      </c>
      <c r="E44" s="131" t="s">
        <v>421</v>
      </c>
      <c r="F44" s="127" t="s">
        <v>474</v>
      </c>
      <c r="G44" s="8">
        <f t="shared" si="6"/>
        <v>300000</v>
      </c>
      <c r="H44" s="46"/>
      <c r="I44" s="45"/>
      <c r="J44" s="46">
        <f t="shared" si="3"/>
        <v>0</v>
      </c>
      <c r="K44" s="46">
        <v>300000</v>
      </c>
      <c r="L44" s="45"/>
      <c r="M44" s="46"/>
      <c r="N44" s="46">
        <f t="shared" si="4"/>
        <v>300000</v>
      </c>
      <c r="P44" s="35"/>
    </row>
    <row r="45" spans="1:16" ht="45" x14ac:dyDescent="0.25">
      <c r="A45" s="119">
        <v>119800</v>
      </c>
      <c r="B45" s="120">
        <v>9800</v>
      </c>
      <c r="C45" s="125">
        <v>180</v>
      </c>
      <c r="D45" s="121" t="s">
        <v>393</v>
      </c>
      <c r="E45" s="131" t="s">
        <v>477</v>
      </c>
      <c r="F45" s="127" t="s">
        <v>475</v>
      </c>
      <c r="G45" s="8">
        <f t="shared" si="6"/>
        <v>80000</v>
      </c>
      <c r="H45" s="46"/>
      <c r="I45" s="45"/>
      <c r="J45" s="46">
        <f t="shared" si="3"/>
        <v>0</v>
      </c>
      <c r="K45" s="46">
        <v>80000</v>
      </c>
      <c r="L45" s="45"/>
      <c r="M45" s="46"/>
      <c r="N45" s="46">
        <f t="shared" si="4"/>
        <v>80000</v>
      </c>
      <c r="P45" s="35"/>
    </row>
    <row r="46" spans="1:16" ht="67.5" x14ac:dyDescent="0.25">
      <c r="A46" s="119">
        <v>119800</v>
      </c>
      <c r="B46" s="120">
        <v>9800</v>
      </c>
      <c r="C46" s="125">
        <v>180</v>
      </c>
      <c r="D46" s="130" t="s">
        <v>393</v>
      </c>
      <c r="E46" s="130" t="s">
        <v>407</v>
      </c>
      <c r="F46" s="123" t="s">
        <v>406</v>
      </c>
      <c r="G46" s="8">
        <f t="shared" si="6"/>
        <v>100000</v>
      </c>
      <c r="H46" s="46">
        <v>100000</v>
      </c>
      <c r="I46" s="45"/>
      <c r="J46" s="46">
        <f t="shared" si="3"/>
        <v>100000</v>
      </c>
      <c r="K46" s="46"/>
      <c r="L46" s="45"/>
      <c r="M46" s="46"/>
      <c r="N46" s="46">
        <f t="shared" si="4"/>
        <v>0</v>
      </c>
    </row>
    <row r="47" spans="1:16" x14ac:dyDescent="0.25">
      <c r="A47" s="188" t="s">
        <v>189</v>
      </c>
      <c r="B47" s="188"/>
      <c r="C47" s="51"/>
      <c r="D47" s="202" t="s">
        <v>21</v>
      </c>
      <c r="E47" s="52"/>
      <c r="F47" s="52"/>
      <c r="G47" s="8">
        <f t="shared" si="6"/>
        <v>8756000</v>
      </c>
      <c r="H47" s="45">
        <f t="shared" ref="H47:N47" si="7">SUM(H48:H58)</f>
        <v>1939000</v>
      </c>
      <c r="I47" s="45">
        <f t="shared" si="7"/>
        <v>506000</v>
      </c>
      <c r="J47" s="45">
        <f t="shared" si="7"/>
        <v>2445000</v>
      </c>
      <c r="K47" s="45">
        <f t="shared" si="7"/>
        <v>5665000</v>
      </c>
      <c r="L47" s="45">
        <f t="shared" si="7"/>
        <v>646000</v>
      </c>
      <c r="M47" s="45">
        <f t="shared" si="7"/>
        <v>646000</v>
      </c>
      <c r="N47" s="45">
        <f t="shared" si="7"/>
        <v>6311000</v>
      </c>
    </row>
    <row r="48" spans="1:16" ht="33.75" x14ac:dyDescent="0.25">
      <c r="A48" s="153" t="s">
        <v>196</v>
      </c>
      <c r="B48" s="153">
        <v>1021</v>
      </c>
      <c r="C48" s="11" t="s">
        <v>197</v>
      </c>
      <c r="D48" s="199" t="s">
        <v>234</v>
      </c>
      <c r="E48" s="48" t="s">
        <v>281</v>
      </c>
      <c r="F48" s="44" t="s">
        <v>282</v>
      </c>
      <c r="G48" s="8">
        <f t="shared" si="6"/>
        <v>48000</v>
      </c>
      <c r="H48" s="46">
        <v>48000</v>
      </c>
      <c r="I48" s="45"/>
      <c r="J48" s="46">
        <f t="shared" si="3"/>
        <v>48000</v>
      </c>
      <c r="K48" s="46"/>
      <c r="L48" s="45"/>
      <c r="M48" s="46"/>
      <c r="N48" s="46">
        <f t="shared" si="4"/>
        <v>0</v>
      </c>
    </row>
    <row r="49" spans="1:14" ht="22.5" x14ac:dyDescent="0.25">
      <c r="A49" s="153" t="s">
        <v>193</v>
      </c>
      <c r="B49" s="153">
        <v>1010</v>
      </c>
      <c r="C49" s="11" t="s">
        <v>194</v>
      </c>
      <c r="D49" s="199" t="s">
        <v>195</v>
      </c>
      <c r="E49" s="318" t="s">
        <v>291</v>
      </c>
      <c r="F49" s="318" t="s">
        <v>446</v>
      </c>
      <c r="G49" s="8">
        <f t="shared" si="6"/>
        <v>220000</v>
      </c>
      <c r="H49" s="46">
        <v>120000</v>
      </c>
      <c r="I49" s="45">
        <v>70000</v>
      </c>
      <c r="J49" s="46">
        <f t="shared" si="3"/>
        <v>190000</v>
      </c>
      <c r="K49" s="46">
        <v>30000</v>
      </c>
      <c r="L49" s="45"/>
      <c r="M49" s="46"/>
      <c r="N49" s="46">
        <f t="shared" si="4"/>
        <v>30000</v>
      </c>
    </row>
    <row r="50" spans="1:14" ht="33.75" x14ac:dyDescent="0.25">
      <c r="A50" s="153" t="s">
        <v>196</v>
      </c>
      <c r="B50" s="153">
        <v>1021</v>
      </c>
      <c r="C50" s="11" t="s">
        <v>197</v>
      </c>
      <c r="D50" s="199" t="s">
        <v>234</v>
      </c>
      <c r="E50" s="320"/>
      <c r="F50" s="320"/>
      <c r="G50" s="8">
        <f t="shared" si="6"/>
        <v>1376000</v>
      </c>
      <c r="H50" s="46">
        <v>110000</v>
      </c>
      <c r="I50" s="45">
        <f>275000+15000+126000</f>
        <v>416000</v>
      </c>
      <c r="J50" s="46">
        <f t="shared" si="3"/>
        <v>526000</v>
      </c>
      <c r="K50" s="46">
        <v>335000</v>
      </c>
      <c r="L50" s="45">
        <f>480000-15000+50000</f>
        <v>515000</v>
      </c>
      <c r="M50" s="46">
        <f>480000-15000+50000</f>
        <v>515000</v>
      </c>
      <c r="N50" s="46">
        <f t="shared" si="4"/>
        <v>850000</v>
      </c>
    </row>
    <row r="51" spans="1:14" ht="33.75" x14ac:dyDescent="0.25">
      <c r="A51" s="149" t="s">
        <v>202</v>
      </c>
      <c r="B51" s="149">
        <v>1070</v>
      </c>
      <c r="C51" s="149" t="s">
        <v>203</v>
      </c>
      <c r="D51" s="150" t="s">
        <v>204</v>
      </c>
      <c r="E51" s="320"/>
      <c r="F51" s="320"/>
      <c r="G51" s="8">
        <f t="shared" si="6"/>
        <v>20000</v>
      </c>
      <c r="H51" s="46">
        <v>20000</v>
      </c>
      <c r="I51" s="45"/>
      <c r="J51" s="46">
        <f t="shared" si="3"/>
        <v>20000</v>
      </c>
      <c r="K51" s="46"/>
      <c r="L51" s="45"/>
      <c r="M51" s="46"/>
      <c r="N51" s="46">
        <f t="shared" si="4"/>
        <v>0</v>
      </c>
    </row>
    <row r="52" spans="1:14" x14ac:dyDescent="0.25">
      <c r="A52" s="126" t="s">
        <v>399</v>
      </c>
      <c r="B52" s="120">
        <v>9770</v>
      </c>
      <c r="C52" s="125">
        <v>180</v>
      </c>
      <c r="D52" s="121" t="s">
        <v>394</v>
      </c>
      <c r="E52" s="320"/>
      <c r="F52" s="320"/>
      <c r="G52" s="8">
        <f t="shared" si="6"/>
        <v>20000</v>
      </c>
      <c r="H52" s="46"/>
      <c r="I52" s="45">
        <v>20000</v>
      </c>
      <c r="J52" s="46">
        <f t="shared" si="3"/>
        <v>20000</v>
      </c>
      <c r="K52" s="46"/>
      <c r="L52" s="45"/>
      <c r="M52" s="46"/>
      <c r="N52" s="46">
        <f t="shared" si="4"/>
        <v>0</v>
      </c>
    </row>
    <row r="53" spans="1:14" x14ac:dyDescent="0.25">
      <c r="A53" s="149" t="s">
        <v>207</v>
      </c>
      <c r="B53" s="149">
        <v>1142</v>
      </c>
      <c r="C53" s="149" t="s">
        <v>163</v>
      </c>
      <c r="D53" s="150" t="s">
        <v>208</v>
      </c>
      <c r="E53" s="319"/>
      <c r="F53" s="319"/>
      <c r="G53" s="8">
        <f t="shared" si="6"/>
        <v>256000</v>
      </c>
      <c r="H53" s="46">
        <v>125000</v>
      </c>
      <c r="I53" s="45"/>
      <c r="J53" s="46">
        <f t="shared" si="3"/>
        <v>125000</v>
      </c>
      <c r="K53" s="46"/>
      <c r="L53" s="45">
        <v>131000</v>
      </c>
      <c r="M53" s="46">
        <v>131000</v>
      </c>
      <c r="N53" s="46">
        <f t="shared" si="4"/>
        <v>131000</v>
      </c>
    </row>
    <row r="54" spans="1:14" ht="21" customHeight="1" x14ac:dyDescent="0.25">
      <c r="A54" s="153" t="s">
        <v>193</v>
      </c>
      <c r="B54" s="153">
        <v>1010</v>
      </c>
      <c r="C54" s="11" t="s">
        <v>194</v>
      </c>
      <c r="D54" s="199" t="s">
        <v>195</v>
      </c>
      <c r="E54" s="336" t="s">
        <v>404</v>
      </c>
      <c r="F54" s="318" t="s">
        <v>405</v>
      </c>
      <c r="G54" s="8">
        <f t="shared" si="6"/>
        <v>950000</v>
      </c>
      <c r="H54" s="46">
        <v>450000</v>
      </c>
      <c r="I54" s="45"/>
      <c r="J54" s="46">
        <f t="shared" si="3"/>
        <v>450000</v>
      </c>
      <c r="K54" s="46">
        <v>500000</v>
      </c>
      <c r="L54" s="45"/>
      <c r="M54" s="46"/>
      <c r="N54" s="46">
        <f t="shared" si="4"/>
        <v>500000</v>
      </c>
    </row>
    <row r="55" spans="1:14" ht="33.75" x14ac:dyDescent="0.25">
      <c r="A55" s="153" t="s">
        <v>196</v>
      </c>
      <c r="B55" s="153">
        <v>1021</v>
      </c>
      <c r="C55" s="11" t="s">
        <v>197</v>
      </c>
      <c r="D55" s="199" t="s">
        <v>234</v>
      </c>
      <c r="E55" s="337"/>
      <c r="F55" s="320"/>
      <c r="G55" s="8">
        <f t="shared" si="6"/>
        <v>1550000</v>
      </c>
      <c r="H55" s="46">
        <v>100000</v>
      </c>
      <c r="I55" s="45"/>
      <c r="J55" s="46">
        <f t="shared" si="3"/>
        <v>100000</v>
      </c>
      <c r="K55" s="46">
        <v>1450000</v>
      </c>
      <c r="L55" s="45"/>
      <c r="M55" s="46"/>
      <c r="N55" s="46">
        <f t="shared" si="4"/>
        <v>1450000</v>
      </c>
    </row>
    <row r="56" spans="1:14" x14ac:dyDescent="0.25">
      <c r="A56" s="126" t="s">
        <v>399</v>
      </c>
      <c r="B56" s="120">
        <v>9770</v>
      </c>
      <c r="C56" s="125">
        <v>180</v>
      </c>
      <c r="D56" s="121" t="s">
        <v>394</v>
      </c>
      <c r="E56" s="338"/>
      <c r="F56" s="319"/>
      <c r="G56" s="8">
        <f t="shared" si="6"/>
        <v>2150000</v>
      </c>
      <c r="H56" s="46"/>
      <c r="I56" s="45"/>
      <c r="J56" s="46">
        <f t="shared" si="3"/>
        <v>0</v>
      </c>
      <c r="K56" s="46">
        <v>2150000</v>
      </c>
      <c r="L56" s="45"/>
      <c r="M56" s="46"/>
      <c r="N56" s="46">
        <f t="shared" si="4"/>
        <v>2150000</v>
      </c>
    </row>
    <row r="57" spans="1:14" ht="33.75" x14ac:dyDescent="0.25">
      <c r="A57" s="119">
        <v>617640</v>
      </c>
      <c r="B57" s="120">
        <v>7640</v>
      </c>
      <c r="C57" s="50">
        <v>470</v>
      </c>
      <c r="D57" s="43" t="s">
        <v>256</v>
      </c>
      <c r="E57" s="206" t="s">
        <v>281</v>
      </c>
      <c r="F57" s="205" t="s">
        <v>427</v>
      </c>
      <c r="G57" s="8">
        <f t="shared" si="6"/>
        <v>1200000</v>
      </c>
      <c r="H57" s="46"/>
      <c r="I57" s="45"/>
      <c r="J57" s="46">
        <f t="shared" si="3"/>
        <v>0</v>
      </c>
      <c r="K57" s="46">
        <v>1200000</v>
      </c>
      <c r="L57" s="45"/>
      <c r="M57" s="46"/>
      <c r="N57" s="46">
        <f t="shared" si="4"/>
        <v>1200000</v>
      </c>
    </row>
    <row r="58" spans="1:14" ht="33.75" x14ac:dyDescent="0.25">
      <c r="A58" s="126" t="s">
        <v>207</v>
      </c>
      <c r="B58" s="186">
        <v>1142</v>
      </c>
      <c r="C58" s="42">
        <v>990</v>
      </c>
      <c r="D58" s="43" t="s">
        <v>208</v>
      </c>
      <c r="E58" s="48" t="s">
        <v>285</v>
      </c>
      <c r="F58" s="44" t="s">
        <v>447</v>
      </c>
      <c r="G58" s="8">
        <f t="shared" si="6"/>
        <v>966000</v>
      </c>
      <c r="H58" s="46">
        <v>966000</v>
      </c>
      <c r="I58" s="45"/>
      <c r="J58" s="46">
        <f t="shared" si="3"/>
        <v>966000</v>
      </c>
      <c r="K58" s="46"/>
      <c r="L58" s="45"/>
      <c r="M58" s="46"/>
      <c r="N58" s="46">
        <f t="shared" si="4"/>
        <v>0</v>
      </c>
    </row>
    <row r="59" spans="1:14" x14ac:dyDescent="0.25">
      <c r="A59" s="189" t="s">
        <v>209</v>
      </c>
      <c r="B59" s="188"/>
      <c r="C59" s="54"/>
      <c r="D59" s="195" t="s">
        <v>22</v>
      </c>
      <c r="E59" s="195"/>
      <c r="F59" s="55"/>
      <c r="G59" s="8">
        <f t="shared" si="6"/>
        <v>1541420</v>
      </c>
      <c r="H59" s="56">
        <f>SUM(H60:H62)</f>
        <v>1541420</v>
      </c>
      <c r="I59" s="56">
        <f t="shared" ref="I59:N59" si="8">SUM(I60:I62)</f>
        <v>0</v>
      </c>
      <c r="J59" s="56">
        <f t="shared" si="8"/>
        <v>1541420</v>
      </c>
      <c r="K59" s="56">
        <f t="shared" si="8"/>
        <v>0</v>
      </c>
      <c r="L59" s="56">
        <f t="shared" si="8"/>
        <v>0</v>
      </c>
      <c r="M59" s="56">
        <f t="shared" si="8"/>
        <v>0</v>
      </c>
      <c r="N59" s="56">
        <f t="shared" si="8"/>
        <v>0</v>
      </c>
    </row>
    <row r="60" spans="1:14" ht="45" x14ac:dyDescent="0.25">
      <c r="A60" s="185">
        <v>913112</v>
      </c>
      <c r="B60" s="186">
        <v>3112</v>
      </c>
      <c r="C60" s="49">
        <v>1040</v>
      </c>
      <c r="D60" s="43" t="s">
        <v>31</v>
      </c>
      <c r="E60" s="43" t="s">
        <v>39</v>
      </c>
      <c r="F60" s="44" t="s">
        <v>448</v>
      </c>
      <c r="G60" s="8">
        <f t="shared" si="6"/>
        <v>504580</v>
      </c>
      <c r="H60" s="46">
        <v>504580</v>
      </c>
      <c r="I60" s="45"/>
      <c r="J60" s="46">
        <f t="shared" si="3"/>
        <v>504580</v>
      </c>
      <c r="K60" s="46"/>
      <c r="L60" s="45"/>
      <c r="M60" s="46"/>
      <c r="N60" s="46">
        <f t="shared" si="4"/>
        <v>0</v>
      </c>
    </row>
    <row r="61" spans="1:14" ht="78.75" x14ac:dyDescent="0.25">
      <c r="A61" s="185">
        <v>913112</v>
      </c>
      <c r="B61" s="186">
        <v>3112</v>
      </c>
      <c r="C61" s="49">
        <v>1040</v>
      </c>
      <c r="D61" s="43" t="s">
        <v>31</v>
      </c>
      <c r="E61" s="43" t="s">
        <v>36</v>
      </c>
      <c r="F61" s="44" t="s">
        <v>449</v>
      </c>
      <c r="G61" s="8">
        <f t="shared" si="6"/>
        <v>93000</v>
      </c>
      <c r="H61" s="46">
        <v>93000</v>
      </c>
      <c r="I61" s="45"/>
      <c r="J61" s="46">
        <f t="shared" si="3"/>
        <v>93000</v>
      </c>
      <c r="K61" s="46"/>
      <c r="L61" s="45"/>
      <c r="M61" s="46"/>
      <c r="N61" s="46">
        <f t="shared" si="4"/>
        <v>0</v>
      </c>
    </row>
    <row r="62" spans="1:14" ht="45" x14ac:dyDescent="0.25">
      <c r="A62" s="185">
        <v>913133</v>
      </c>
      <c r="B62" s="186">
        <v>3133</v>
      </c>
      <c r="C62" s="49">
        <v>1040</v>
      </c>
      <c r="D62" s="43" t="s">
        <v>461</v>
      </c>
      <c r="E62" s="43" t="s">
        <v>41</v>
      </c>
      <c r="F62" s="44" t="s">
        <v>40</v>
      </c>
      <c r="G62" s="8">
        <f t="shared" si="6"/>
        <v>943840</v>
      </c>
      <c r="H62" s="46">
        <v>943840</v>
      </c>
      <c r="I62" s="45"/>
      <c r="J62" s="46">
        <f t="shared" si="3"/>
        <v>943840</v>
      </c>
      <c r="K62" s="46"/>
      <c r="L62" s="45"/>
      <c r="M62" s="46"/>
      <c r="N62" s="46">
        <f t="shared" si="4"/>
        <v>0</v>
      </c>
    </row>
    <row r="63" spans="1:14" x14ac:dyDescent="0.25">
      <c r="A63" s="188">
        <v>10</v>
      </c>
      <c r="B63" s="188"/>
      <c r="C63" s="51"/>
      <c r="D63" s="196" t="s">
        <v>23</v>
      </c>
      <c r="E63" s="196"/>
      <c r="F63" s="52"/>
      <c r="G63" s="8">
        <f>SUM(J63+N63)</f>
        <v>1136418</v>
      </c>
      <c r="H63" s="45">
        <f t="shared" ref="H63:N63" si="9">SUM(H64:H69)</f>
        <v>552000</v>
      </c>
      <c r="I63" s="45">
        <f t="shared" si="9"/>
        <v>190900</v>
      </c>
      <c r="J63" s="45">
        <f t="shared" si="9"/>
        <v>742900</v>
      </c>
      <c r="K63" s="45">
        <f t="shared" si="9"/>
        <v>338000</v>
      </c>
      <c r="L63" s="45">
        <f t="shared" si="9"/>
        <v>55518</v>
      </c>
      <c r="M63" s="45">
        <f t="shared" si="9"/>
        <v>55518</v>
      </c>
      <c r="N63" s="45">
        <f t="shared" si="9"/>
        <v>393518</v>
      </c>
    </row>
    <row r="64" spans="1:14" x14ac:dyDescent="0.25">
      <c r="A64" s="149" t="s">
        <v>436</v>
      </c>
      <c r="B64" s="149">
        <v>4030</v>
      </c>
      <c r="C64" s="149" t="s">
        <v>214</v>
      </c>
      <c r="D64" s="131" t="s">
        <v>215</v>
      </c>
      <c r="E64" s="316" t="s">
        <v>291</v>
      </c>
      <c r="F64" s="318" t="s">
        <v>290</v>
      </c>
      <c r="G64" s="8">
        <f t="shared" ref="G64:G69" si="10">SUM(J64+N64)</f>
        <v>285000</v>
      </c>
      <c r="H64" s="46">
        <v>82000</v>
      </c>
      <c r="I64" s="45">
        <f>40000-5000</f>
        <v>35000</v>
      </c>
      <c r="J64" s="46">
        <f t="shared" si="3"/>
        <v>117000</v>
      </c>
      <c r="K64" s="45">
        <v>158000</v>
      </c>
      <c r="L64" s="45">
        <f>-50000+60000</f>
        <v>10000</v>
      </c>
      <c r="M64" s="46">
        <f>-50000+60000</f>
        <v>10000</v>
      </c>
      <c r="N64" s="46">
        <f t="shared" si="4"/>
        <v>168000</v>
      </c>
    </row>
    <row r="65" spans="1:14" ht="36" customHeight="1" x14ac:dyDescent="0.25">
      <c r="A65" s="153">
        <v>1014060</v>
      </c>
      <c r="B65" s="153">
        <v>4060</v>
      </c>
      <c r="C65" s="153" t="s">
        <v>217</v>
      </c>
      <c r="D65" s="131" t="s">
        <v>218</v>
      </c>
      <c r="E65" s="323"/>
      <c r="F65" s="320"/>
      <c r="G65" s="8">
        <f t="shared" si="10"/>
        <v>233518</v>
      </c>
      <c r="H65" s="46">
        <v>40000</v>
      </c>
      <c r="I65" s="45">
        <v>18000</v>
      </c>
      <c r="J65" s="46">
        <f t="shared" si="3"/>
        <v>58000</v>
      </c>
      <c r="K65" s="45">
        <v>130000</v>
      </c>
      <c r="L65" s="45">
        <v>45518</v>
      </c>
      <c r="M65" s="46">
        <v>45518</v>
      </c>
      <c r="N65" s="46">
        <f t="shared" si="4"/>
        <v>175518</v>
      </c>
    </row>
    <row r="66" spans="1:14" ht="24.6" customHeight="1" x14ac:dyDescent="0.25">
      <c r="A66" s="149">
        <v>1011080</v>
      </c>
      <c r="B66" s="149">
        <v>1080</v>
      </c>
      <c r="C66" s="149" t="s">
        <v>203</v>
      </c>
      <c r="D66" s="150" t="s">
        <v>213</v>
      </c>
      <c r="E66" s="317"/>
      <c r="F66" s="319"/>
      <c r="G66" s="8">
        <f t="shared" si="10"/>
        <v>48000</v>
      </c>
      <c r="H66" s="46">
        <v>30000</v>
      </c>
      <c r="I66" s="45">
        <v>18000</v>
      </c>
      <c r="J66" s="46">
        <f t="shared" si="3"/>
        <v>48000</v>
      </c>
      <c r="K66" s="45"/>
      <c r="L66" s="45"/>
      <c r="M66" s="45"/>
      <c r="N66" s="46">
        <f t="shared" si="4"/>
        <v>0</v>
      </c>
    </row>
    <row r="67" spans="1:14" ht="33.75" x14ac:dyDescent="0.25">
      <c r="A67" s="184">
        <v>1014082</v>
      </c>
      <c r="B67" s="186">
        <v>4082</v>
      </c>
      <c r="C67" s="42">
        <v>829</v>
      </c>
      <c r="D67" s="43" t="s">
        <v>221</v>
      </c>
      <c r="E67" s="43" t="s">
        <v>310</v>
      </c>
      <c r="F67" s="44" t="s">
        <v>284</v>
      </c>
      <c r="G67" s="8">
        <f t="shared" si="10"/>
        <v>400000</v>
      </c>
      <c r="H67" s="46">
        <v>400000</v>
      </c>
      <c r="I67" s="45"/>
      <c r="J67" s="46">
        <f t="shared" si="3"/>
        <v>400000</v>
      </c>
      <c r="K67" s="46"/>
      <c r="L67" s="45"/>
      <c r="M67" s="46"/>
      <c r="N67" s="46">
        <f t="shared" si="4"/>
        <v>0</v>
      </c>
    </row>
    <row r="68" spans="1:14" ht="22.5" x14ac:dyDescent="0.25">
      <c r="A68" s="187" t="s">
        <v>418</v>
      </c>
      <c r="B68" s="187">
        <v>7370</v>
      </c>
      <c r="C68" s="47">
        <v>490</v>
      </c>
      <c r="D68" s="43" t="s">
        <v>15</v>
      </c>
      <c r="E68" s="48" t="s">
        <v>490</v>
      </c>
      <c r="F68" s="44" t="s">
        <v>450</v>
      </c>
      <c r="G68" s="8">
        <f t="shared" si="10"/>
        <v>99900</v>
      </c>
      <c r="H68" s="46"/>
      <c r="I68" s="45">
        <v>99900</v>
      </c>
      <c r="J68" s="46">
        <f t="shared" si="3"/>
        <v>99900</v>
      </c>
      <c r="K68" s="46"/>
      <c r="L68" s="45"/>
      <c r="M68" s="46"/>
      <c r="N68" s="46">
        <f t="shared" si="4"/>
        <v>0</v>
      </c>
    </row>
    <row r="69" spans="1:14" ht="56.25" x14ac:dyDescent="0.25">
      <c r="A69" s="187" t="s">
        <v>418</v>
      </c>
      <c r="B69" s="187">
        <v>7370</v>
      </c>
      <c r="C69" s="47">
        <v>490</v>
      </c>
      <c r="D69" s="43" t="s">
        <v>15</v>
      </c>
      <c r="E69" s="48" t="s">
        <v>419</v>
      </c>
      <c r="F69" s="44" t="s">
        <v>450</v>
      </c>
      <c r="G69" s="8">
        <f t="shared" si="10"/>
        <v>70000</v>
      </c>
      <c r="H69" s="46"/>
      <c r="I69" s="45">
        <v>20000</v>
      </c>
      <c r="J69" s="46">
        <f t="shared" si="3"/>
        <v>20000</v>
      </c>
      <c r="K69" s="46">
        <v>50000</v>
      </c>
      <c r="L69" s="45"/>
      <c r="M69" s="46"/>
      <c r="N69" s="46">
        <f t="shared" si="4"/>
        <v>50000</v>
      </c>
    </row>
    <row r="70" spans="1:14" ht="17.45" customHeight="1" x14ac:dyDescent="0.25">
      <c r="A70" s="188">
        <v>11</v>
      </c>
      <c r="B70" s="188"/>
      <c r="C70" s="51"/>
      <c r="D70" s="196" t="s">
        <v>386</v>
      </c>
      <c r="E70" s="196"/>
      <c r="F70" s="48"/>
      <c r="G70" s="8">
        <f t="shared" si="1"/>
        <v>4899474</v>
      </c>
      <c r="H70" s="45">
        <f>SUM(H71:H77)</f>
        <v>4641050</v>
      </c>
      <c r="I70" s="45">
        <f t="shared" ref="I70:N70" si="11">SUM(I71:I77)</f>
        <v>48424</v>
      </c>
      <c r="J70" s="45">
        <f t="shared" si="11"/>
        <v>4689474</v>
      </c>
      <c r="K70" s="45">
        <f t="shared" si="11"/>
        <v>210000</v>
      </c>
      <c r="L70" s="45">
        <f t="shared" si="11"/>
        <v>0</v>
      </c>
      <c r="M70" s="45">
        <f t="shared" si="11"/>
        <v>0</v>
      </c>
      <c r="N70" s="45">
        <f t="shared" si="11"/>
        <v>210000</v>
      </c>
    </row>
    <row r="71" spans="1:14" ht="45" x14ac:dyDescent="0.25">
      <c r="A71" s="184">
        <v>1113133</v>
      </c>
      <c r="B71" s="186">
        <v>3133</v>
      </c>
      <c r="C71" s="49">
        <v>1040</v>
      </c>
      <c r="D71" s="43" t="s">
        <v>461</v>
      </c>
      <c r="E71" s="43" t="s">
        <v>37</v>
      </c>
      <c r="F71" s="44" t="s">
        <v>38</v>
      </c>
      <c r="G71" s="8">
        <f t="shared" si="1"/>
        <v>551850</v>
      </c>
      <c r="H71" s="46">
        <v>551850</v>
      </c>
      <c r="I71" s="45"/>
      <c r="J71" s="46">
        <f t="shared" si="3"/>
        <v>551850</v>
      </c>
      <c r="K71" s="46"/>
      <c r="L71" s="45"/>
      <c r="M71" s="46"/>
      <c r="N71" s="46">
        <f t="shared" si="4"/>
        <v>0</v>
      </c>
    </row>
    <row r="72" spans="1:14" ht="45" x14ac:dyDescent="0.25">
      <c r="A72" s="184">
        <v>1113133</v>
      </c>
      <c r="B72" s="186">
        <v>3133</v>
      </c>
      <c r="C72" s="49">
        <v>1040</v>
      </c>
      <c r="D72" s="43" t="s">
        <v>461</v>
      </c>
      <c r="E72" s="316" t="s">
        <v>291</v>
      </c>
      <c r="F72" s="318" t="s">
        <v>290</v>
      </c>
      <c r="G72" s="8">
        <f t="shared" si="1"/>
        <v>20000</v>
      </c>
      <c r="H72" s="46">
        <v>20000</v>
      </c>
      <c r="I72" s="45"/>
      <c r="J72" s="46">
        <f t="shared" si="3"/>
        <v>20000</v>
      </c>
      <c r="K72" s="46"/>
      <c r="L72" s="45"/>
      <c r="M72" s="46"/>
      <c r="N72" s="46">
        <f t="shared" si="4"/>
        <v>0</v>
      </c>
    </row>
    <row r="73" spans="1:14" ht="45" x14ac:dyDescent="0.25">
      <c r="A73" s="149">
        <v>1115031</v>
      </c>
      <c r="B73" s="149">
        <v>5031</v>
      </c>
      <c r="C73" s="149" t="s">
        <v>222</v>
      </c>
      <c r="D73" s="131" t="s">
        <v>389</v>
      </c>
      <c r="E73" s="323"/>
      <c r="F73" s="320"/>
      <c r="G73" s="8">
        <f t="shared" si="1"/>
        <v>495000</v>
      </c>
      <c r="H73" s="46">
        <v>260000</v>
      </c>
      <c r="I73" s="45">
        <v>25000</v>
      </c>
      <c r="J73" s="46">
        <f t="shared" si="3"/>
        <v>285000</v>
      </c>
      <c r="K73" s="46">
        <v>210000</v>
      </c>
      <c r="L73" s="45"/>
      <c r="M73" s="46"/>
      <c r="N73" s="46">
        <f t="shared" si="4"/>
        <v>210000</v>
      </c>
    </row>
    <row r="74" spans="1:14" ht="45" x14ac:dyDescent="0.25">
      <c r="A74" s="184">
        <v>1115061</v>
      </c>
      <c r="B74" s="186">
        <v>5061</v>
      </c>
      <c r="C74" s="42">
        <v>810</v>
      </c>
      <c r="D74" s="43" t="s">
        <v>32</v>
      </c>
      <c r="E74" s="317"/>
      <c r="F74" s="319"/>
      <c r="G74" s="8">
        <f t="shared" si="1"/>
        <v>233000</v>
      </c>
      <c r="H74" s="46">
        <v>233000</v>
      </c>
      <c r="I74" s="45"/>
      <c r="J74" s="46">
        <f t="shared" si="3"/>
        <v>233000</v>
      </c>
      <c r="K74" s="46"/>
      <c r="L74" s="45"/>
      <c r="M74" s="46"/>
      <c r="N74" s="46">
        <f t="shared" si="4"/>
        <v>0</v>
      </c>
    </row>
    <row r="75" spans="1:14" ht="45" x14ac:dyDescent="0.25">
      <c r="A75" s="184">
        <v>1115061</v>
      </c>
      <c r="B75" s="186">
        <v>5061</v>
      </c>
      <c r="C75" s="42">
        <v>810</v>
      </c>
      <c r="D75" s="43" t="s">
        <v>32</v>
      </c>
      <c r="E75" s="316" t="s">
        <v>309</v>
      </c>
      <c r="F75" s="316" t="s">
        <v>34</v>
      </c>
      <c r="G75" s="8">
        <f t="shared" si="1"/>
        <v>1265000</v>
      </c>
      <c r="H75" s="46">
        <v>1265000</v>
      </c>
      <c r="I75" s="45"/>
      <c r="J75" s="46">
        <f t="shared" si="3"/>
        <v>1265000</v>
      </c>
      <c r="K75" s="46"/>
      <c r="L75" s="45"/>
      <c r="M75" s="46"/>
      <c r="N75" s="46">
        <f t="shared" si="4"/>
        <v>0</v>
      </c>
    </row>
    <row r="76" spans="1:14" ht="33.75" x14ac:dyDescent="0.25">
      <c r="A76" s="149" t="s">
        <v>486</v>
      </c>
      <c r="B76" s="120">
        <v>5049</v>
      </c>
      <c r="C76" s="125">
        <v>810</v>
      </c>
      <c r="D76" s="121" t="s">
        <v>487</v>
      </c>
      <c r="E76" s="317"/>
      <c r="F76" s="317"/>
      <c r="G76" s="8">
        <f t="shared" si="1"/>
        <v>23424</v>
      </c>
      <c r="H76" s="46"/>
      <c r="I76" s="45">
        <v>23424</v>
      </c>
      <c r="J76" s="46">
        <f t="shared" si="3"/>
        <v>23424</v>
      </c>
      <c r="K76" s="46"/>
      <c r="L76" s="45"/>
      <c r="M76" s="46"/>
      <c r="N76" s="46">
        <f t="shared" si="4"/>
        <v>0</v>
      </c>
    </row>
    <row r="77" spans="1:14" ht="40.15" customHeight="1" x14ac:dyDescent="0.25">
      <c r="A77" s="184">
        <v>1115062</v>
      </c>
      <c r="B77" s="186">
        <v>5062</v>
      </c>
      <c r="C77" s="42">
        <v>810</v>
      </c>
      <c r="D77" s="43" t="s">
        <v>33</v>
      </c>
      <c r="E77" s="43" t="s">
        <v>279</v>
      </c>
      <c r="F77" s="44" t="s">
        <v>280</v>
      </c>
      <c r="G77" s="8">
        <f t="shared" si="1"/>
        <v>2311200</v>
      </c>
      <c r="H77" s="46">
        <v>2311200</v>
      </c>
      <c r="I77" s="45"/>
      <c r="J77" s="46">
        <f t="shared" si="3"/>
        <v>2311200</v>
      </c>
      <c r="K77" s="46"/>
      <c r="L77" s="45"/>
      <c r="M77" s="46"/>
      <c r="N77" s="46">
        <f t="shared" si="4"/>
        <v>0</v>
      </c>
    </row>
    <row r="78" spans="1:14" ht="25.15" customHeight="1" x14ac:dyDescent="0.25">
      <c r="A78" s="188">
        <v>12</v>
      </c>
      <c r="B78" s="188"/>
      <c r="C78" s="51"/>
      <c r="D78" s="196" t="s">
        <v>387</v>
      </c>
      <c r="E78" s="196"/>
      <c r="F78" s="52"/>
      <c r="G78" s="8">
        <f t="shared" si="1"/>
        <v>88082927.950000003</v>
      </c>
      <c r="H78" s="45">
        <f t="shared" ref="H78:N78" si="12">SUM(H79:H105)</f>
        <v>26639027.949999999</v>
      </c>
      <c r="I78" s="45">
        <f t="shared" si="12"/>
        <v>195000</v>
      </c>
      <c r="J78" s="45">
        <f t="shared" si="12"/>
        <v>26834027.949999999</v>
      </c>
      <c r="K78" s="45">
        <f t="shared" si="12"/>
        <v>59554460</v>
      </c>
      <c r="L78" s="45">
        <f t="shared" si="12"/>
        <v>1694440</v>
      </c>
      <c r="M78" s="45">
        <f t="shared" si="12"/>
        <v>1694440</v>
      </c>
      <c r="N78" s="45">
        <f t="shared" si="12"/>
        <v>61248900</v>
      </c>
    </row>
    <row r="79" spans="1:14" ht="22.9" customHeight="1" x14ac:dyDescent="0.25">
      <c r="A79" s="124">
        <v>1216013</v>
      </c>
      <c r="B79" s="125">
        <v>6013</v>
      </c>
      <c r="C79" s="50">
        <v>620</v>
      </c>
      <c r="D79" s="43" t="s">
        <v>277</v>
      </c>
      <c r="E79" s="316" t="s">
        <v>289</v>
      </c>
      <c r="F79" s="318" t="s">
        <v>278</v>
      </c>
      <c r="G79" s="8">
        <f t="shared" si="1"/>
        <v>9159490</v>
      </c>
      <c r="H79" s="62">
        <v>8060000</v>
      </c>
      <c r="I79" s="128"/>
      <c r="J79" s="46">
        <f t="shared" ref="J79:J117" si="13">SUM(H79:I79)</f>
        <v>8060000</v>
      </c>
      <c r="K79" s="62">
        <v>950000</v>
      </c>
      <c r="L79" s="128">
        <v>149490</v>
      </c>
      <c r="M79" s="62">
        <v>149490</v>
      </c>
      <c r="N79" s="46">
        <f t="shared" ref="N79:N117" si="14">SUM(K79:L79)</f>
        <v>1099490</v>
      </c>
    </row>
    <row r="80" spans="1:14" ht="22.5" x14ac:dyDescent="0.25">
      <c r="A80" s="124">
        <v>1216040</v>
      </c>
      <c r="B80" s="125">
        <v>6040</v>
      </c>
      <c r="C80" s="50">
        <v>620</v>
      </c>
      <c r="D80" s="43" t="s">
        <v>302</v>
      </c>
      <c r="E80" s="317"/>
      <c r="F80" s="319"/>
      <c r="G80" s="8">
        <f t="shared" si="1"/>
        <v>1695000</v>
      </c>
      <c r="H80" s="62">
        <v>1695000</v>
      </c>
      <c r="I80" s="128"/>
      <c r="J80" s="46">
        <f t="shared" si="13"/>
        <v>1695000</v>
      </c>
      <c r="K80" s="62"/>
      <c r="L80" s="128"/>
      <c r="M80" s="62"/>
      <c r="N80" s="46">
        <f t="shared" si="14"/>
        <v>0</v>
      </c>
    </row>
    <row r="81" spans="1:14" ht="22.5" x14ac:dyDescent="0.25">
      <c r="A81" s="185">
        <v>1217693</v>
      </c>
      <c r="B81" s="186">
        <v>7693</v>
      </c>
      <c r="C81" s="42">
        <v>490</v>
      </c>
      <c r="D81" s="43" t="s">
        <v>188</v>
      </c>
      <c r="E81" s="48" t="s">
        <v>294</v>
      </c>
      <c r="F81" s="44" t="s">
        <v>295</v>
      </c>
      <c r="G81" s="8">
        <f t="shared" si="1"/>
        <v>103027.95</v>
      </c>
      <c r="H81" s="62">
        <v>103027.95</v>
      </c>
      <c r="I81" s="128"/>
      <c r="J81" s="46">
        <f t="shared" si="13"/>
        <v>103027.95</v>
      </c>
      <c r="K81" s="62"/>
      <c r="L81" s="128"/>
      <c r="M81" s="62"/>
      <c r="N81" s="46">
        <f t="shared" si="14"/>
        <v>0</v>
      </c>
    </row>
    <row r="82" spans="1:14" ht="45" x14ac:dyDescent="0.25">
      <c r="A82" s="184">
        <v>1217670</v>
      </c>
      <c r="B82" s="186">
        <v>7670</v>
      </c>
      <c r="C82" s="42">
        <v>490</v>
      </c>
      <c r="D82" s="43" t="s">
        <v>303</v>
      </c>
      <c r="E82" s="57" t="s">
        <v>304</v>
      </c>
      <c r="F82" s="58" t="s">
        <v>278</v>
      </c>
      <c r="G82" s="8">
        <f t="shared" si="1"/>
        <v>12750000</v>
      </c>
      <c r="H82" s="62"/>
      <c r="I82" s="128"/>
      <c r="J82" s="46">
        <f t="shared" si="13"/>
        <v>0</v>
      </c>
      <c r="K82" s="62">
        <v>12750000</v>
      </c>
      <c r="L82" s="128"/>
      <c r="M82" s="62"/>
      <c r="N82" s="46">
        <f t="shared" si="14"/>
        <v>12750000</v>
      </c>
    </row>
    <row r="83" spans="1:14" ht="90" x14ac:dyDescent="0.25">
      <c r="A83" s="184">
        <v>1216071</v>
      </c>
      <c r="B83" s="186">
        <v>6071</v>
      </c>
      <c r="C83" s="42">
        <v>640</v>
      </c>
      <c r="D83" s="43" t="s">
        <v>53</v>
      </c>
      <c r="E83" s="43" t="s">
        <v>54</v>
      </c>
      <c r="F83" s="44" t="s">
        <v>55</v>
      </c>
      <c r="G83" s="8">
        <f t="shared" si="1"/>
        <v>6700000</v>
      </c>
      <c r="H83" s="63">
        <v>6700000</v>
      </c>
      <c r="I83" s="129"/>
      <c r="J83" s="46">
        <f t="shared" si="13"/>
        <v>6700000</v>
      </c>
      <c r="K83" s="63"/>
      <c r="L83" s="129"/>
      <c r="M83" s="63"/>
      <c r="N83" s="46">
        <f t="shared" si="14"/>
        <v>0</v>
      </c>
    </row>
    <row r="84" spans="1:14" ht="33.75" x14ac:dyDescent="0.25">
      <c r="A84" s="190">
        <v>1211021</v>
      </c>
      <c r="B84" s="190">
        <v>1021</v>
      </c>
      <c r="C84" s="60">
        <v>921</v>
      </c>
      <c r="D84" s="61" t="s">
        <v>234</v>
      </c>
      <c r="E84" s="43" t="s">
        <v>281</v>
      </c>
      <c r="F84" s="44" t="s">
        <v>313</v>
      </c>
      <c r="G84" s="8">
        <f t="shared" si="1"/>
        <v>40120460</v>
      </c>
      <c r="H84" s="63"/>
      <c r="I84" s="129"/>
      <c r="J84" s="46">
        <f t="shared" si="13"/>
        <v>0</v>
      </c>
      <c r="K84" s="63">
        <v>40120460</v>
      </c>
      <c r="L84" s="129"/>
      <c r="M84" s="63"/>
      <c r="N84" s="46">
        <f t="shared" si="14"/>
        <v>40120460</v>
      </c>
    </row>
    <row r="85" spans="1:14" ht="33.75" x14ac:dyDescent="0.25">
      <c r="A85" s="190">
        <v>1211021</v>
      </c>
      <c r="B85" s="190">
        <v>1021</v>
      </c>
      <c r="C85" s="60">
        <v>921</v>
      </c>
      <c r="D85" s="61" t="s">
        <v>234</v>
      </c>
      <c r="E85" s="324" t="s">
        <v>404</v>
      </c>
      <c r="F85" s="318" t="s">
        <v>405</v>
      </c>
      <c r="G85" s="8">
        <f t="shared" si="1"/>
        <v>200000</v>
      </c>
      <c r="H85" s="63">
        <v>200000</v>
      </c>
      <c r="I85" s="129"/>
      <c r="J85" s="46">
        <f t="shared" si="13"/>
        <v>200000</v>
      </c>
      <c r="K85" s="63"/>
      <c r="L85" s="129"/>
      <c r="M85" s="63"/>
      <c r="N85" s="46">
        <f t="shared" si="14"/>
        <v>0</v>
      </c>
    </row>
    <row r="86" spans="1:14" ht="22.5" x14ac:dyDescent="0.25">
      <c r="A86" s="153" t="s">
        <v>398</v>
      </c>
      <c r="B86" s="153">
        <v>2152</v>
      </c>
      <c r="C86" s="11" t="s">
        <v>173</v>
      </c>
      <c r="D86" s="198" t="s">
        <v>174</v>
      </c>
      <c r="E86" s="325"/>
      <c r="F86" s="320"/>
      <c r="G86" s="8">
        <f t="shared" si="1"/>
        <v>500000</v>
      </c>
      <c r="H86" s="63"/>
      <c r="I86" s="129"/>
      <c r="J86" s="46">
        <f t="shared" si="13"/>
        <v>0</v>
      </c>
      <c r="K86" s="63">
        <v>500000</v>
      </c>
      <c r="L86" s="129"/>
      <c r="M86" s="63"/>
      <c r="N86" s="46">
        <f t="shared" si="14"/>
        <v>500000</v>
      </c>
    </row>
    <row r="87" spans="1:14" ht="22.5" x14ac:dyDescent="0.25">
      <c r="A87" s="149">
        <v>1216090</v>
      </c>
      <c r="B87" s="149">
        <v>6090</v>
      </c>
      <c r="C87" s="24" t="s">
        <v>223</v>
      </c>
      <c r="D87" s="199" t="s">
        <v>224</v>
      </c>
      <c r="E87" s="325"/>
      <c r="F87" s="320"/>
      <c r="G87" s="8">
        <f t="shared" si="1"/>
        <v>600000</v>
      </c>
      <c r="H87" s="63"/>
      <c r="I87" s="129"/>
      <c r="J87" s="46">
        <f t="shared" si="13"/>
        <v>0</v>
      </c>
      <c r="K87" s="63">
        <v>600000</v>
      </c>
      <c r="L87" s="129"/>
      <c r="M87" s="63"/>
      <c r="N87" s="46">
        <f t="shared" si="14"/>
        <v>600000</v>
      </c>
    </row>
    <row r="88" spans="1:14" x14ac:dyDescent="0.25">
      <c r="A88" s="126" t="s">
        <v>400</v>
      </c>
      <c r="B88" s="120">
        <v>9770</v>
      </c>
      <c r="C88" s="125">
        <v>180</v>
      </c>
      <c r="D88" s="121" t="s">
        <v>394</v>
      </c>
      <c r="E88" s="326"/>
      <c r="F88" s="319"/>
      <c r="G88" s="8">
        <f t="shared" si="1"/>
        <v>300000</v>
      </c>
      <c r="H88" s="63"/>
      <c r="I88" s="129"/>
      <c r="J88" s="46">
        <f t="shared" si="13"/>
        <v>0</v>
      </c>
      <c r="K88" s="63">
        <v>300000</v>
      </c>
      <c r="L88" s="129"/>
      <c r="M88" s="63"/>
      <c r="N88" s="46">
        <f t="shared" si="14"/>
        <v>300000</v>
      </c>
    </row>
    <row r="89" spans="1:14" ht="67.5" x14ac:dyDescent="0.25">
      <c r="A89" s="126" t="s">
        <v>299</v>
      </c>
      <c r="B89" s="126" t="s">
        <v>155</v>
      </c>
      <c r="C89" s="53" t="s">
        <v>156</v>
      </c>
      <c r="D89" s="43" t="s">
        <v>157</v>
      </c>
      <c r="E89" s="318" t="s">
        <v>291</v>
      </c>
      <c r="F89" s="320"/>
      <c r="G89" s="8">
        <f t="shared" si="1"/>
        <v>70000</v>
      </c>
      <c r="H89" s="63">
        <v>50000</v>
      </c>
      <c r="I89" s="129">
        <v>20000</v>
      </c>
      <c r="J89" s="46">
        <f t="shared" si="13"/>
        <v>70000</v>
      </c>
      <c r="K89" s="63"/>
      <c r="L89" s="129"/>
      <c r="M89" s="63"/>
      <c r="N89" s="46">
        <f t="shared" si="14"/>
        <v>0</v>
      </c>
    </row>
    <row r="90" spans="1:14" ht="22.5" x14ac:dyDescent="0.25">
      <c r="A90" s="126" t="s">
        <v>300</v>
      </c>
      <c r="B90" s="187">
        <v>1010</v>
      </c>
      <c r="C90" s="47" t="s">
        <v>194</v>
      </c>
      <c r="D90" s="43" t="s">
        <v>195</v>
      </c>
      <c r="E90" s="320"/>
      <c r="F90" s="320"/>
      <c r="G90" s="8">
        <f t="shared" si="1"/>
        <v>150000</v>
      </c>
      <c r="H90" s="63">
        <v>150000</v>
      </c>
      <c r="I90" s="129"/>
      <c r="J90" s="46">
        <f t="shared" si="13"/>
        <v>150000</v>
      </c>
      <c r="K90" s="63"/>
      <c r="L90" s="129"/>
      <c r="M90" s="63"/>
      <c r="N90" s="46">
        <f t="shared" si="14"/>
        <v>0</v>
      </c>
    </row>
    <row r="91" spans="1:14" ht="33.75" x14ac:dyDescent="0.25">
      <c r="A91" s="190">
        <v>1211021</v>
      </c>
      <c r="B91" s="190">
        <v>1021</v>
      </c>
      <c r="C91" s="60">
        <v>921</v>
      </c>
      <c r="D91" s="61" t="s">
        <v>234</v>
      </c>
      <c r="E91" s="320"/>
      <c r="F91" s="320"/>
      <c r="G91" s="8">
        <f t="shared" si="1"/>
        <v>150000</v>
      </c>
      <c r="H91" s="63"/>
      <c r="I91" s="129"/>
      <c r="J91" s="46">
        <f t="shared" si="13"/>
        <v>0</v>
      </c>
      <c r="K91" s="63">
        <v>150000</v>
      </c>
      <c r="L91" s="129"/>
      <c r="M91" s="63"/>
      <c r="N91" s="46">
        <f t="shared" si="14"/>
        <v>150000</v>
      </c>
    </row>
    <row r="92" spans="1:14" x14ac:dyDescent="0.25">
      <c r="A92" s="149" t="s">
        <v>452</v>
      </c>
      <c r="B92" s="149">
        <v>4030</v>
      </c>
      <c r="C92" s="149" t="s">
        <v>214</v>
      </c>
      <c r="D92" s="131" t="s">
        <v>215</v>
      </c>
      <c r="E92" s="320"/>
      <c r="F92" s="320"/>
      <c r="G92" s="8">
        <f t="shared" si="1"/>
        <v>220000</v>
      </c>
      <c r="H92" s="63"/>
      <c r="I92" s="129"/>
      <c r="J92" s="46">
        <f t="shared" si="13"/>
        <v>0</v>
      </c>
      <c r="K92" s="63">
        <v>150000</v>
      </c>
      <c r="L92" s="129">
        <v>70000</v>
      </c>
      <c r="M92" s="63">
        <v>70000</v>
      </c>
      <c r="N92" s="46">
        <f t="shared" si="14"/>
        <v>220000</v>
      </c>
    </row>
    <row r="93" spans="1:14" ht="33.75" x14ac:dyDescent="0.25">
      <c r="A93" s="187" t="s">
        <v>307</v>
      </c>
      <c r="B93" s="187">
        <v>4060</v>
      </c>
      <c r="C93" s="47" t="s">
        <v>217</v>
      </c>
      <c r="D93" s="43" t="s">
        <v>218</v>
      </c>
      <c r="E93" s="320"/>
      <c r="F93" s="320"/>
      <c r="G93" s="8">
        <f t="shared" si="1"/>
        <v>50000</v>
      </c>
      <c r="H93" s="63"/>
      <c r="I93" s="129"/>
      <c r="J93" s="46">
        <f t="shared" si="13"/>
        <v>0</v>
      </c>
      <c r="K93" s="63"/>
      <c r="L93" s="129">
        <f>50000</f>
        <v>50000</v>
      </c>
      <c r="M93" s="63">
        <f>50000</f>
        <v>50000</v>
      </c>
      <c r="N93" s="46">
        <f t="shared" si="14"/>
        <v>50000</v>
      </c>
    </row>
    <row r="94" spans="1:14" ht="45" x14ac:dyDescent="0.25">
      <c r="A94" s="126" t="s">
        <v>301</v>
      </c>
      <c r="B94" s="126">
        <v>5031</v>
      </c>
      <c r="C94" s="53" t="s">
        <v>222</v>
      </c>
      <c r="D94" s="43" t="s">
        <v>389</v>
      </c>
      <c r="E94" s="320"/>
      <c r="F94" s="320"/>
      <c r="G94" s="8">
        <f t="shared" si="1"/>
        <v>757000</v>
      </c>
      <c r="H94" s="63"/>
      <c r="I94" s="129"/>
      <c r="J94" s="46">
        <f t="shared" si="13"/>
        <v>0</v>
      </c>
      <c r="K94" s="63">
        <v>300000</v>
      </c>
      <c r="L94" s="129">
        <v>457000</v>
      </c>
      <c r="M94" s="63">
        <v>457000</v>
      </c>
      <c r="N94" s="46">
        <f t="shared" si="14"/>
        <v>757000</v>
      </c>
    </row>
    <row r="95" spans="1:14" ht="22.5" x14ac:dyDescent="0.25">
      <c r="A95" s="124">
        <v>1216013</v>
      </c>
      <c r="B95" s="125">
        <v>6013</v>
      </c>
      <c r="C95" s="50">
        <v>620</v>
      </c>
      <c r="D95" s="43" t="s">
        <v>277</v>
      </c>
      <c r="E95" s="320"/>
      <c r="F95" s="320"/>
      <c r="G95" s="8">
        <f t="shared" si="1"/>
        <v>802950</v>
      </c>
      <c r="H95" s="63"/>
      <c r="I95" s="129">
        <v>170000</v>
      </c>
      <c r="J95" s="46">
        <f t="shared" si="13"/>
        <v>170000</v>
      </c>
      <c r="K95" s="63"/>
      <c r="L95" s="129">
        <f>430000+202950</f>
        <v>632950</v>
      </c>
      <c r="M95" s="63">
        <f>430000+202950</f>
        <v>632950</v>
      </c>
      <c r="N95" s="46">
        <f t="shared" si="14"/>
        <v>632950</v>
      </c>
    </row>
    <row r="96" spans="1:14" ht="22.5" x14ac:dyDescent="0.25">
      <c r="A96" s="185">
        <v>1217370</v>
      </c>
      <c r="B96" s="186">
        <v>7370</v>
      </c>
      <c r="C96" s="42">
        <v>490</v>
      </c>
      <c r="D96" s="43" t="s">
        <v>15</v>
      </c>
      <c r="E96" s="319"/>
      <c r="F96" s="319"/>
      <c r="G96" s="8">
        <f t="shared" si="1"/>
        <v>692000</v>
      </c>
      <c r="H96" s="63">
        <v>50000</v>
      </c>
      <c r="I96" s="129">
        <v>40000</v>
      </c>
      <c r="J96" s="46">
        <f t="shared" si="13"/>
        <v>90000</v>
      </c>
      <c r="K96" s="63">
        <v>302000</v>
      </c>
      <c r="L96" s="129">
        <v>300000</v>
      </c>
      <c r="M96" s="63">
        <v>300000</v>
      </c>
      <c r="N96" s="46">
        <f t="shared" si="14"/>
        <v>602000</v>
      </c>
    </row>
    <row r="97" spans="1:16" ht="56.25" x14ac:dyDescent="0.25">
      <c r="A97" s="185">
        <v>1217370</v>
      </c>
      <c r="B97" s="186">
        <v>7370</v>
      </c>
      <c r="C97" s="42">
        <v>490</v>
      </c>
      <c r="D97" s="43" t="s">
        <v>15</v>
      </c>
      <c r="E97" s="48" t="s">
        <v>419</v>
      </c>
      <c r="F97" s="44" t="s">
        <v>420</v>
      </c>
      <c r="G97" s="8">
        <f t="shared" si="1"/>
        <v>50000</v>
      </c>
      <c r="H97" s="63">
        <v>50000</v>
      </c>
      <c r="I97" s="129"/>
      <c r="J97" s="46">
        <f t="shared" si="13"/>
        <v>50000</v>
      </c>
      <c r="K97" s="63"/>
      <c r="L97" s="129"/>
      <c r="M97" s="63"/>
      <c r="N97" s="46">
        <f t="shared" si="14"/>
        <v>0</v>
      </c>
    </row>
    <row r="98" spans="1:16" ht="33.75" x14ac:dyDescent="0.25">
      <c r="A98" s="119">
        <v>1217640</v>
      </c>
      <c r="B98" s="120">
        <v>7640</v>
      </c>
      <c r="C98" s="50">
        <v>470</v>
      </c>
      <c r="D98" s="43" t="s">
        <v>256</v>
      </c>
      <c r="E98" s="48" t="s">
        <v>281</v>
      </c>
      <c r="F98" s="44" t="s">
        <v>427</v>
      </c>
      <c r="G98" s="8">
        <f t="shared" si="1"/>
        <v>332000</v>
      </c>
      <c r="H98" s="63"/>
      <c r="I98" s="129"/>
      <c r="J98" s="46">
        <f t="shared" si="13"/>
        <v>0</v>
      </c>
      <c r="K98" s="63">
        <v>332000</v>
      </c>
      <c r="L98" s="129"/>
      <c r="M98" s="63"/>
      <c r="N98" s="46">
        <f t="shared" si="14"/>
        <v>332000</v>
      </c>
    </row>
    <row r="99" spans="1:16" ht="67.5" x14ac:dyDescent="0.25">
      <c r="A99" s="126" t="s">
        <v>299</v>
      </c>
      <c r="B99" s="126" t="s">
        <v>155</v>
      </c>
      <c r="C99" s="53" t="s">
        <v>156</v>
      </c>
      <c r="D99" s="43" t="s">
        <v>157</v>
      </c>
      <c r="E99" s="316" t="s">
        <v>287</v>
      </c>
      <c r="F99" s="318" t="s">
        <v>288</v>
      </c>
      <c r="G99" s="8">
        <f t="shared" si="1"/>
        <v>3823400</v>
      </c>
      <c r="H99" s="63">
        <v>3823400</v>
      </c>
      <c r="I99" s="129"/>
      <c r="J99" s="46">
        <f t="shared" si="13"/>
        <v>3823400</v>
      </c>
      <c r="K99" s="63"/>
      <c r="L99" s="129"/>
      <c r="M99" s="63"/>
      <c r="N99" s="46">
        <f t="shared" si="14"/>
        <v>0</v>
      </c>
    </row>
    <row r="100" spans="1:16" ht="22.5" x14ac:dyDescent="0.25">
      <c r="A100" s="126" t="s">
        <v>300</v>
      </c>
      <c r="B100" s="187">
        <v>1010</v>
      </c>
      <c r="C100" s="47" t="s">
        <v>194</v>
      </c>
      <c r="D100" s="43" t="s">
        <v>195</v>
      </c>
      <c r="E100" s="323"/>
      <c r="F100" s="320"/>
      <c r="G100" s="8">
        <f t="shared" si="1"/>
        <v>1000000</v>
      </c>
      <c r="H100" s="63">
        <v>950000</v>
      </c>
      <c r="I100" s="129"/>
      <c r="J100" s="46">
        <f t="shared" si="13"/>
        <v>950000</v>
      </c>
      <c r="K100" s="63">
        <v>50000</v>
      </c>
      <c r="L100" s="129"/>
      <c r="M100" s="63"/>
      <c r="N100" s="46">
        <f t="shared" si="14"/>
        <v>50000</v>
      </c>
    </row>
    <row r="101" spans="1:16" ht="33.75" x14ac:dyDescent="0.25">
      <c r="A101" s="190">
        <v>1211021</v>
      </c>
      <c r="B101" s="190">
        <v>1021</v>
      </c>
      <c r="C101" s="60">
        <v>921</v>
      </c>
      <c r="D101" s="61" t="s">
        <v>234</v>
      </c>
      <c r="E101" s="323"/>
      <c r="F101" s="320"/>
      <c r="G101" s="8">
        <f t="shared" si="1"/>
        <v>120000</v>
      </c>
      <c r="H101" s="63"/>
      <c r="I101" s="129"/>
      <c r="J101" s="46">
        <f t="shared" si="13"/>
        <v>0</v>
      </c>
      <c r="K101" s="63">
        <v>100000</v>
      </c>
      <c r="L101" s="129">
        <v>20000</v>
      </c>
      <c r="M101" s="63">
        <v>20000</v>
      </c>
      <c r="N101" s="46">
        <f t="shared" si="14"/>
        <v>120000</v>
      </c>
    </row>
    <row r="102" spans="1:16" ht="22.5" x14ac:dyDescent="0.25">
      <c r="A102" s="149" t="s">
        <v>308</v>
      </c>
      <c r="B102" s="149">
        <v>1080</v>
      </c>
      <c r="C102" s="24" t="s">
        <v>203</v>
      </c>
      <c r="D102" s="198" t="s">
        <v>213</v>
      </c>
      <c r="E102" s="323"/>
      <c r="F102" s="320"/>
      <c r="G102" s="8">
        <f t="shared" si="1"/>
        <v>265000</v>
      </c>
      <c r="H102" s="63"/>
      <c r="I102" s="129"/>
      <c r="J102" s="46">
        <f t="shared" si="13"/>
        <v>0</v>
      </c>
      <c r="K102" s="63">
        <v>250000</v>
      </c>
      <c r="L102" s="129">
        <v>15000</v>
      </c>
      <c r="M102" s="63">
        <v>15000</v>
      </c>
      <c r="N102" s="46">
        <f t="shared" si="14"/>
        <v>265000</v>
      </c>
    </row>
    <row r="103" spans="1:16" ht="33.75" x14ac:dyDescent="0.25">
      <c r="A103" s="187" t="s">
        <v>307</v>
      </c>
      <c r="B103" s="187">
        <v>4060</v>
      </c>
      <c r="C103" s="47" t="s">
        <v>217</v>
      </c>
      <c r="D103" s="43" t="s">
        <v>218</v>
      </c>
      <c r="E103" s="323"/>
      <c r="F103" s="320"/>
      <c r="G103" s="8">
        <f t="shared" si="1"/>
        <v>1198300</v>
      </c>
      <c r="H103" s="63">
        <v>798300</v>
      </c>
      <c r="I103" s="129"/>
      <c r="J103" s="46">
        <f t="shared" si="13"/>
        <v>798300</v>
      </c>
      <c r="K103" s="63">
        <v>400000</v>
      </c>
      <c r="L103" s="129"/>
      <c r="M103" s="63"/>
      <c r="N103" s="46">
        <f t="shared" si="14"/>
        <v>400000</v>
      </c>
    </row>
    <row r="104" spans="1:16" ht="45" x14ac:dyDescent="0.25">
      <c r="A104" s="126" t="s">
        <v>301</v>
      </c>
      <c r="B104" s="126">
        <v>5031</v>
      </c>
      <c r="C104" s="53" t="s">
        <v>222</v>
      </c>
      <c r="D104" s="43" t="s">
        <v>389</v>
      </c>
      <c r="E104" s="323"/>
      <c r="F104" s="320"/>
      <c r="G104" s="8">
        <f t="shared" si="1"/>
        <v>2300000</v>
      </c>
      <c r="H104" s="63"/>
      <c r="I104" s="129"/>
      <c r="J104" s="46">
        <f t="shared" si="13"/>
        <v>0</v>
      </c>
      <c r="K104" s="63">
        <v>2300000</v>
      </c>
      <c r="L104" s="129"/>
      <c r="M104" s="63"/>
      <c r="N104" s="46">
        <f t="shared" si="14"/>
        <v>2300000</v>
      </c>
    </row>
    <row r="105" spans="1:16" ht="22.9" customHeight="1" x14ac:dyDescent="0.25">
      <c r="A105" s="184">
        <v>1216090</v>
      </c>
      <c r="B105" s="186">
        <v>6090</v>
      </c>
      <c r="C105" s="42">
        <v>640</v>
      </c>
      <c r="D105" s="43" t="s">
        <v>224</v>
      </c>
      <c r="E105" s="317"/>
      <c r="F105" s="319"/>
      <c r="G105" s="8">
        <f t="shared" si="1"/>
        <v>3974300</v>
      </c>
      <c r="H105" s="63">
        <v>4009300</v>
      </c>
      <c r="I105" s="129">
        <v>-35000</v>
      </c>
      <c r="J105" s="46">
        <f t="shared" si="13"/>
        <v>3974300</v>
      </c>
      <c r="K105" s="63"/>
      <c r="L105" s="129"/>
      <c r="M105" s="63"/>
      <c r="N105" s="46">
        <f t="shared" si="14"/>
        <v>0</v>
      </c>
    </row>
    <row r="106" spans="1:16" ht="24" x14ac:dyDescent="0.25">
      <c r="A106" s="189">
        <v>14</v>
      </c>
      <c r="B106" s="191"/>
      <c r="C106" s="54"/>
      <c r="D106" s="203" t="s">
        <v>26</v>
      </c>
      <c r="E106" s="195"/>
      <c r="F106" s="55"/>
      <c r="G106" s="8">
        <f t="shared" si="1"/>
        <v>72862528</v>
      </c>
      <c r="H106" s="56">
        <f>SUM(H107:H117)</f>
        <v>52856946</v>
      </c>
      <c r="I106" s="56">
        <f t="shared" ref="I106:N106" si="15">SUM(I107:I117)</f>
        <v>479610</v>
      </c>
      <c r="J106" s="56">
        <f t="shared" si="15"/>
        <v>53336556</v>
      </c>
      <c r="K106" s="56">
        <f t="shared" si="15"/>
        <v>17881100</v>
      </c>
      <c r="L106" s="56">
        <f t="shared" si="15"/>
        <v>1644872</v>
      </c>
      <c r="M106" s="56">
        <f t="shared" si="15"/>
        <v>1644872</v>
      </c>
      <c r="N106" s="56">
        <f t="shared" si="15"/>
        <v>19525972</v>
      </c>
    </row>
    <row r="107" spans="1:16" ht="21" customHeight="1" x14ac:dyDescent="0.25">
      <c r="A107" s="184">
        <v>1416030</v>
      </c>
      <c r="B107" s="186">
        <v>6030</v>
      </c>
      <c r="C107" s="42">
        <v>620</v>
      </c>
      <c r="D107" s="43" t="s">
        <v>227</v>
      </c>
      <c r="E107" s="316" t="s">
        <v>311</v>
      </c>
      <c r="F107" s="318" t="s">
        <v>283</v>
      </c>
      <c r="G107" s="8">
        <f t="shared" si="1"/>
        <v>52971696</v>
      </c>
      <c r="H107" s="46">
        <v>48814896</v>
      </c>
      <c r="I107" s="45">
        <f>-100390</f>
        <v>-100390</v>
      </c>
      <c r="J107" s="46">
        <f t="shared" si="13"/>
        <v>48714506</v>
      </c>
      <c r="K107" s="46">
        <v>4156800</v>
      </c>
      <c r="L107" s="45">
        <f>100390</f>
        <v>100390</v>
      </c>
      <c r="M107" s="46">
        <v>100390</v>
      </c>
      <c r="N107" s="46">
        <f t="shared" si="14"/>
        <v>4257190</v>
      </c>
    </row>
    <row r="108" spans="1:16" ht="33.75" x14ac:dyDescent="0.25">
      <c r="A108" s="124">
        <v>1417461</v>
      </c>
      <c r="B108" s="120">
        <v>7461</v>
      </c>
      <c r="C108" s="125">
        <v>456</v>
      </c>
      <c r="D108" s="121" t="s">
        <v>390</v>
      </c>
      <c r="E108" s="317"/>
      <c r="F108" s="320"/>
      <c r="G108" s="8">
        <f t="shared" si="1"/>
        <v>5500000</v>
      </c>
      <c r="H108" s="46">
        <v>2500000</v>
      </c>
      <c r="I108" s="45"/>
      <c r="J108" s="46">
        <f t="shared" si="13"/>
        <v>2500000</v>
      </c>
      <c r="K108" s="46">
        <v>3000000</v>
      </c>
      <c r="L108" s="45"/>
      <c r="M108" s="46"/>
      <c r="N108" s="46">
        <f t="shared" si="14"/>
        <v>3000000</v>
      </c>
    </row>
    <row r="109" spans="1:16" ht="56.25" x14ac:dyDescent="0.25">
      <c r="A109" s="184">
        <v>1416030</v>
      </c>
      <c r="B109" s="186">
        <v>6030</v>
      </c>
      <c r="C109" s="42">
        <v>620</v>
      </c>
      <c r="D109" s="43" t="s">
        <v>227</v>
      </c>
      <c r="E109" s="193" t="s">
        <v>438</v>
      </c>
      <c r="F109" s="319"/>
      <c r="G109" s="8">
        <f t="shared" si="1"/>
        <v>873050</v>
      </c>
      <c r="H109" s="46">
        <v>302050</v>
      </c>
      <c r="I109" s="45">
        <f>20000+25000+190000</f>
        <v>235000</v>
      </c>
      <c r="J109" s="46">
        <f t="shared" si="13"/>
        <v>537050</v>
      </c>
      <c r="K109" s="46">
        <v>46000</v>
      </c>
      <c r="L109" s="45">
        <f>230000+60000</f>
        <v>290000</v>
      </c>
      <c r="M109" s="46">
        <f>230000+60000</f>
        <v>290000</v>
      </c>
      <c r="N109" s="46">
        <f t="shared" si="14"/>
        <v>336000</v>
      </c>
    </row>
    <row r="110" spans="1:16" ht="56.25" x14ac:dyDescent="0.25">
      <c r="A110" s="184">
        <v>1416030</v>
      </c>
      <c r="B110" s="186">
        <v>6030</v>
      </c>
      <c r="C110" s="42">
        <v>620</v>
      </c>
      <c r="D110" s="43" t="s">
        <v>227</v>
      </c>
      <c r="E110" s="48" t="s">
        <v>437</v>
      </c>
      <c r="F110" s="318" t="s">
        <v>27</v>
      </c>
      <c r="G110" s="8">
        <f t="shared" si="1"/>
        <v>460000</v>
      </c>
      <c r="H110" s="46">
        <v>60000</v>
      </c>
      <c r="I110" s="45"/>
      <c r="J110" s="46">
        <f t="shared" si="13"/>
        <v>60000</v>
      </c>
      <c r="K110" s="46">
        <v>350000</v>
      </c>
      <c r="L110" s="45">
        <f>50000</f>
        <v>50000</v>
      </c>
      <c r="M110" s="46">
        <f>50000</f>
        <v>50000</v>
      </c>
      <c r="N110" s="46">
        <f t="shared" si="14"/>
        <v>400000</v>
      </c>
      <c r="P110" s="35"/>
    </row>
    <row r="111" spans="1:16" ht="22.5" x14ac:dyDescent="0.25">
      <c r="A111" s="184">
        <v>1416030</v>
      </c>
      <c r="B111" s="186">
        <v>6030</v>
      </c>
      <c r="C111" s="42">
        <v>620</v>
      </c>
      <c r="D111" s="43" t="s">
        <v>227</v>
      </c>
      <c r="E111" s="48" t="s">
        <v>429</v>
      </c>
      <c r="F111" s="319"/>
      <c r="G111" s="8">
        <f t="shared" si="1"/>
        <v>3500000</v>
      </c>
      <c r="H111" s="46">
        <v>550000</v>
      </c>
      <c r="I111" s="45"/>
      <c r="J111" s="46">
        <f t="shared" si="13"/>
        <v>550000</v>
      </c>
      <c r="K111" s="46">
        <v>2950000</v>
      </c>
      <c r="L111" s="45"/>
      <c r="M111" s="46"/>
      <c r="N111" s="46">
        <f t="shared" si="14"/>
        <v>2950000</v>
      </c>
      <c r="P111" s="35"/>
    </row>
    <row r="112" spans="1:16" ht="33.75" x14ac:dyDescent="0.25">
      <c r="A112" s="184">
        <v>1416030</v>
      </c>
      <c r="B112" s="186">
        <v>6030</v>
      </c>
      <c r="C112" s="42">
        <v>620</v>
      </c>
      <c r="D112" s="43" t="s">
        <v>227</v>
      </c>
      <c r="E112" s="48" t="s">
        <v>291</v>
      </c>
      <c r="F112" s="44" t="s">
        <v>428</v>
      </c>
      <c r="G112" s="8">
        <f t="shared" si="1"/>
        <v>5291000</v>
      </c>
      <c r="H112" s="46"/>
      <c r="I112" s="45">
        <v>135000</v>
      </c>
      <c r="J112" s="46">
        <f t="shared" si="13"/>
        <v>135000</v>
      </c>
      <c r="K112" s="46">
        <v>4776000</v>
      </c>
      <c r="L112" s="45">
        <v>380000</v>
      </c>
      <c r="M112" s="45">
        <v>380000</v>
      </c>
      <c r="N112" s="46">
        <f t="shared" si="14"/>
        <v>5156000</v>
      </c>
      <c r="P112" s="35"/>
    </row>
    <row r="113" spans="1:16" ht="56.25" x14ac:dyDescent="0.25">
      <c r="A113" s="184">
        <v>1416030</v>
      </c>
      <c r="B113" s="186">
        <v>6030</v>
      </c>
      <c r="C113" s="42">
        <v>620</v>
      </c>
      <c r="D113" s="43" t="s">
        <v>227</v>
      </c>
      <c r="E113" s="48" t="s">
        <v>419</v>
      </c>
      <c r="F113" s="44" t="s">
        <v>420</v>
      </c>
      <c r="G113" s="8">
        <f t="shared" si="1"/>
        <v>60000</v>
      </c>
      <c r="H113" s="46"/>
      <c r="I113" s="45"/>
      <c r="J113" s="46">
        <f t="shared" si="13"/>
        <v>0</v>
      </c>
      <c r="K113" s="46">
        <v>60000</v>
      </c>
      <c r="L113" s="45"/>
      <c r="M113" s="45"/>
      <c r="N113" s="46">
        <f t="shared" si="14"/>
        <v>60000</v>
      </c>
      <c r="P113" s="35"/>
    </row>
    <row r="114" spans="1:16" ht="33.75" x14ac:dyDescent="0.25">
      <c r="A114" s="187" t="s">
        <v>453</v>
      </c>
      <c r="B114" s="187">
        <v>7370</v>
      </c>
      <c r="C114" s="47">
        <v>490</v>
      </c>
      <c r="D114" s="43" t="s">
        <v>15</v>
      </c>
      <c r="E114" s="48" t="s">
        <v>16</v>
      </c>
      <c r="F114" s="44" t="s">
        <v>17</v>
      </c>
      <c r="G114" s="8">
        <f t="shared" ref="G114" si="16">SUM(J114+N114)</f>
        <v>200000</v>
      </c>
      <c r="H114" s="46">
        <v>200000</v>
      </c>
      <c r="I114" s="45"/>
      <c r="J114" s="46">
        <f t="shared" si="13"/>
        <v>200000</v>
      </c>
      <c r="K114" s="46"/>
      <c r="L114" s="45"/>
      <c r="M114" s="46"/>
      <c r="N114" s="46">
        <f t="shared" si="14"/>
        <v>0</v>
      </c>
      <c r="P114" s="35"/>
    </row>
    <row r="115" spans="1:16" ht="78.75" x14ac:dyDescent="0.25">
      <c r="A115" s="185">
        <v>1417370</v>
      </c>
      <c r="B115" s="186">
        <v>7370</v>
      </c>
      <c r="C115" s="42">
        <v>490</v>
      </c>
      <c r="D115" s="43" t="s">
        <v>15</v>
      </c>
      <c r="E115" s="200" t="s">
        <v>440</v>
      </c>
      <c r="F115" s="44" t="s">
        <v>441</v>
      </c>
      <c r="G115" s="8">
        <f t="shared" si="1"/>
        <v>200000</v>
      </c>
      <c r="H115" s="46">
        <v>80000</v>
      </c>
      <c r="I115" s="45">
        <v>-20000</v>
      </c>
      <c r="J115" s="46">
        <f t="shared" si="13"/>
        <v>60000</v>
      </c>
      <c r="K115" s="46">
        <v>140000</v>
      </c>
      <c r="L115" s="45"/>
      <c r="M115" s="45"/>
      <c r="N115" s="46">
        <f t="shared" si="14"/>
        <v>140000</v>
      </c>
      <c r="P115" s="35"/>
    </row>
    <row r="116" spans="1:16" ht="90" x14ac:dyDescent="0.25">
      <c r="A116" s="124">
        <v>1417461</v>
      </c>
      <c r="B116" s="120">
        <v>7461</v>
      </c>
      <c r="C116" s="125">
        <v>456</v>
      </c>
      <c r="D116" s="121" t="s">
        <v>390</v>
      </c>
      <c r="E116" s="48" t="s">
        <v>431</v>
      </c>
      <c r="F116" s="44" t="s">
        <v>430</v>
      </c>
      <c r="G116" s="8">
        <f t="shared" si="1"/>
        <v>3101482</v>
      </c>
      <c r="H116" s="46">
        <f>240000+110000</f>
        <v>350000</v>
      </c>
      <c r="I116" s="45">
        <f>20000+110000+100000</f>
        <v>230000</v>
      </c>
      <c r="J116" s="46">
        <f t="shared" si="13"/>
        <v>580000</v>
      </c>
      <c r="K116" s="46">
        <v>1697000</v>
      </c>
      <c r="L116" s="45">
        <f>924482-100000</f>
        <v>824482</v>
      </c>
      <c r="M116" s="46">
        <f>924482-100000</f>
        <v>824482</v>
      </c>
      <c r="N116" s="46">
        <f t="shared" si="14"/>
        <v>2521482</v>
      </c>
      <c r="P116" s="35"/>
    </row>
    <row r="117" spans="1:16" ht="33.75" x14ac:dyDescent="0.25">
      <c r="A117" s="184">
        <v>1418312</v>
      </c>
      <c r="B117" s="186">
        <v>8312</v>
      </c>
      <c r="C117" s="42">
        <v>512</v>
      </c>
      <c r="D117" s="43" t="s">
        <v>462</v>
      </c>
      <c r="E117" s="43" t="s">
        <v>312</v>
      </c>
      <c r="F117" s="44" t="s">
        <v>442</v>
      </c>
      <c r="G117" s="8">
        <f>SUM(J117+N117)</f>
        <v>705300</v>
      </c>
      <c r="H117" s="46"/>
      <c r="I117" s="45"/>
      <c r="J117" s="46">
        <f t="shared" si="13"/>
        <v>0</v>
      </c>
      <c r="K117" s="46">
        <v>705300</v>
      </c>
      <c r="L117" s="45"/>
      <c r="M117" s="46"/>
      <c r="N117" s="46">
        <f t="shared" si="14"/>
        <v>705300</v>
      </c>
    </row>
    <row r="118" spans="1:16" x14ac:dyDescent="0.25">
      <c r="A118" s="109" t="s">
        <v>232</v>
      </c>
      <c r="B118" s="109" t="s">
        <v>232</v>
      </c>
      <c r="C118" s="109" t="s">
        <v>232</v>
      </c>
      <c r="D118" s="321" t="s">
        <v>28</v>
      </c>
      <c r="E118" s="322"/>
      <c r="F118" s="109" t="s">
        <v>232</v>
      </c>
      <c r="G118" s="45">
        <f>SUM(G13+G47+G59+G63+G70+G78+G106)</f>
        <v>257534334</v>
      </c>
      <c r="H118" s="45">
        <f t="shared" ref="H118:N118" si="17">SUM(H13+H47+H59+H63+H70+H78+H106)</f>
        <v>135909243</v>
      </c>
      <c r="I118" s="45">
        <f t="shared" si="17"/>
        <v>-6360516</v>
      </c>
      <c r="J118" s="45">
        <f t="shared" si="17"/>
        <v>129548727</v>
      </c>
      <c r="K118" s="45">
        <f t="shared" si="17"/>
        <v>117137407</v>
      </c>
      <c r="L118" s="45">
        <f t="shared" si="17"/>
        <v>10848200</v>
      </c>
      <c r="M118" s="45">
        <f t="shared" si="17"/>
        <v>10848200</v>
      </c>
      <c r="N118" s="45">
        <f t="shared" si="17"/>
        <v>127985607</v>
      </c>
    </row>
    <row r="119" spans="1:16" ht="18.75" x14ac:dyDescent="0.25">
      <c r="A119" s="5"/>
      <c r="G119" s="59"/>
      <c r="J119" s="211"/>
      <c r="N119" s="211"/>
    </row>
    <row r="120" spans="1:16" x14ac:dyDescent="0.25">
      <c r="G120" s="59"/>
      <c r="H120" s="59"/>
      <c r="I120" s="59"/>
      <c r="J120" s="59"/>
      <c r="K120" s="59"/>
      <c r="L120" s="59"/>
      <c r="M120" s="59"/>
      <c r="N120" s="59"/>
    </row>
    <row r="121" spans="1:16" x14ac:dyDescent="0.25">
      <c r="G121" s="35"/>
      <c r="I121" s="35"/>
    </row>
    <row r="122" spans="1:16" ht="18.75" x14ac:dyDescent="0.3">
      <c r="B122" s="27" t="s">
        <v>230</v>
      </c>
      <c r="C122" s="27"/>
      <c r="D122" s="27"/>
      <c r="E122" s="27"/>
      <c r="F122" s="27"/>
      <c r="G122" s="27" t="s">
        <v>231</v>
      </c>
      <c r="H122" s="27"/>
      <c r="I122" s="27"/>
      <c r="J122" s="27"/>
    </row>
  </sheetData>
  <mergeCells count="51">
    <mergeCell ref="E75:E76"/>
    <mergeCell ref="F75:F76"/>
    <mergeCell ref="A38:A40"/>
    <mergeCell ref="B38:B40"/>
    <mergeCell ref="C38:C40"/>
    <mergeCell ref="D38:D40"/>
    <mergeCell ref="F38:F40"/>
    <mergeCell ref="E72:E74"/>
    <mergeCell ref="F72:F74"/>
    <mergeCell ref="E54:E56"/>
    <mergeCell ref="F54:F56"/>
    <mergeCell ref="E64:E66"/>
    <mergeCell ref="F64:F66"/>
    <mergeCell ref="E41:E42"/>
    <mergeCell ref="F41:F42"/>
    <mergeCell ref="F49:F53"/>
    <mergeCell ref="E31:E32"/>
    <mergeCell ref="F31:F32"/>
    <mergeCell ref="N10:N11"/>
    <mergeCell ref="K10:K11"/>
    <mergeCell ref="L10:L11"/>
    <mergeCell ref="E36:E37"/>
    <mergeCell ref="F36:F37"/>
    <mergeCell ref="F27:F29"/>
    <mergeCell ref="D118:E118"/>
    <mergeCell ref="E79:E80"/>
    <mergeCell ref="F79:F80"/>
    <mergeCell ref="E99:E105"/>
    <mergeCell ref="F99:F105"/>
    <mergeCell ref="E107:E108"/>
    <mergeCell ref="E85:E88"/>
    <mergeCell ref="F85:F88"/>
    <mergeCell ref="F89:F96"/>
    <mergeCell ref="F110:F111"/>
    <mergeCell ref="F107:F109"/>
    <mergeCell ref="E89:E96"/>
    <mergeCell ref="E49:E53"/>
    <mergeCell ref="A5:N5"/>
    <mergeCell ref="A6:N6"/>
    <mergeCell ref="H9:J9"/>
    <mergeCell ref="H10:H11"/>
    <mergeCell ref="I10:I11"/>
    <mergeCell ref="G9:G11"/>
    <mergeCell ref="A9:A11"/>
    <mergeCell ref="B9:B11"/>
    <mergeCell ref="C9:C11"/>
    <mergeCell ref="D9:D11"/>
    <mergeCell ref="E9:E11"/>
    <mergeCell ref="F9:F11"/>
    <mergeCell ref="J10:J11"/>
    <mergeCell ref="K9:N9"/>
  </mergeCells>
  <pageMargins left="0.31496062992125984" right="0.31496062992125984" top="0.35433070866141736" bottom="0.35433070866141736" header="0.11811023622047245" footer="0.11811023622047245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Додаток 1</vt:lpstr>
      <vt:lpstr>Додаток 2</vt:lpstr>
      <vt:lpstr>Додаток 3</vt:lpstr>
      <vt:lpstr>Додаток 4</vt:lpstr>
      <vt:lpstr>Додаток 5</vt:lpstr>
      <vt:lpstr>Додаток 6</vt:lpstr>
      <vt:lpstr>'Додаток 6'!_Hlk90642476</vt:lpstr>
      <vt:lpstr>'Додаток 1'!Заголовки_для_печати</vt:lpstr>
      <vt:lpstr>'Додаток 2'!Заголовки_для_печати</vt:lpstr>
      <vt:lpstr>'Додаток 4'!Заголовки_для_печати</vt:lpstr>
      <vt:lpstr>'Додаток 5'!Заголовки_для_печати</vt:lpstr>
      <vt:lpstr>'Додаток 6'!Заголовки_для_печати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2025-05-30T11:12:18Z</cp:lastPrinted>
  <dcterms:created xsi:type="dcterms:W3CDTF">2024-11-26T06:56:23Z</dcterms:created>
  <dcterms:modified xsi:type="dcterms:W3CDTF">2025-06-02T06:56:41Z</dcterms:modified>
</cp:coreProperties>
</file>